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ThisWorkbook" defaultThemeVersion="124226"/>
  <mc:AlternateContent xmlns:mc="http://schemas.openxmlformats.org/markup-compatibility/2006">
    <mc:Choice Requires="x15">
      <x15ac:absPath xmlns:x15ac="http://schemas.microsoft.com/office/spreadsheetml/2010/11/ac" url="\\NAS01\CBFHomes\b.uiterdijk\Documents\"/>
    </mc:Choice>
  </mc:AlternateContent>
  <xr:revisionPtr revIDLastSave="0" documentId="8_{1BA595B4-B502-4AC0-A60B-F76071809910}" xr6:coauthVersionLast="36" xr6:coauthVersionMax="36" xr10:uidLastSave="{00000000-0000-0000-0000-000000000000}"/>
  <workbookProtection workbookAlgorithmName="SHA-512" workbookHashValue="Kba6rCg0r7q3kR1B/iH44/+iK2ZL0E2P7D1KUUGbr3PcPjqFUpASVZ2ZcVVveg6WdSd0P7lLfBaiyKlQgA/3cQ==" workbookSaltValue="rB8EKeobmmh+7pTKhZJmKQ==" workbookSpinCount="100000" lockStructure="1"/>
  <bookViews>
    <workbookView xWindow="540" yWindow="150" windowWidth="22995" windowHeight="6405" xr2:uid="{00000000-000D-0000-FFFF-FFFF00000000}"/>
  </bookViews>
  <sheets>
    <sheet name="Invulling" sheetId="1" r:id="rId1"/>
    <sheet name="Zelfbeeld" sheetId="5" r:id="rId2"/>
    <sheet name="BSD tabellen" sheetId="4" state="hidden" r:id="rId3"/>
  </sheets>
  <definedNames>
    <definedName name="_xlnm.Print_Area" localSheetId="0">Invulling!$A$3:$H$103</definedName>
    <definedName name="_xlnm.Print_Area" localSheetId="1">Zelfbeeld!$A$1:$H$42</definedName>
    <definedName name="Bijtellingen_1">Invulling!$B$87</definedName>
    <definedName name="Bijtellingen_2">Invulling!$C$87</definedName>
    <definedName name="Bijtellingen_3">Invulling!$D$87</definedName>
    <definedName name="Boekjaar_aanvang">Invulling!$B$9</definedName>
    <definedName name="Boekjaar_einde">Invulling!$C$9</definedName>
    <definedName name="Bruto_BSD">Invulling!$H$64</definedName>
    <definedName name="Bruto_jaarloon_1">Invulling!$B$81</definedName>
    <definedName name="Bruto_jaarloon_2">Invulling!$C$81</definedName>
    <definedName name="Bruto_jaarloon_3">Invulling!$D$81</definedName>
    <definedName name="Complexiteit">Invulling!$C$34</definedName>
    <definedName name="Complexiteit_BSD">Invulling!$H$36</definedName>
    <definedName name="Context_Aansturing">Invulling!$C$45</definedName>
    <definedName name="Context_Aansturing_BSD">Invulling!$H$47</definedName>
    <definedName name="Context_Rol">Invulling!$C$54</definedName>
    <definedName name="Context_Rol_BSD">Invulling!$H$56</definedName>
    <definedName name="Datum_akkoord">Invulling!$B$7</definedName>
    <definedName name="Directie_Model">Invulling!$C$69</definedName>
    <definedName name="EJK_1">Invulling!$B$83</definedName>
    <definedName name="EJK_2">Invulling!$C$83</definedName>
    <definedName name="EJK_3">Invulling!$D$83</definedName>
    <definedName name="Geaccordeerd_door">Invulling!$B$6</definedName>
    <definedName name="Ingevuld_door">Invulling!$B$5</definedName>
    <definedName name="Jaarinkomen_1">Invulling!$B$85</definedName>
    <definedName name="Jaarinkomen_2">Invulling!$C$85</definedName>
    <definedName name="Jaarinkomen_3">Invulling!$D$85</definedName>
    <definedName name="Jaarinkomen_Max_1">Zelfbeeld!$G$27</definedName>
    <definedName name="Jaarinkomen_Max_2">Zelfbeeld!$G$28</definedName>
    <definedName name="Jaarinkomen_Max_3">Zelfbeeld!$G$29</definedName>
    <definedName name="Jaarinkomen_Schaal_1">Zelfbeeld!$H$27</definedName>
    <definedName name="Jaarinkomen_Schaal_2">Zelfbeeld!$H$28</definedName>
    <definedName name="Jaarinkomen_Schaal_3">Zelfbeeld!$H$29</definedName>
    <definedName name="Omvang_Fin">Invulling!$B$13</definedName>
    <definedName name="Omvang_Fin_BSD">Invulling!$H$16</definedName>
    <definedName name="Omvang_Fin_Fds">Invulling!$B$18</definedName>
    <definedName name="Omvang_Fin_Fds_BSD">Invulling!$H$21</definedName>
    <definedName name="Omvang_Fin_Fds_sub">Invulling!$D$18</definedName>
    <definedName name="Omvang_Fin_sub">Invulling!$D$13</definedName>
    <definedName name="Omvang_FTE">Invulling!$B$23</definedName>
    <definedName name="Omvang_FTE_BSD">Invulling!$H$26</definedName>
    <definedName name="Omvang_FTE_sub">Invulling!$D$23</definedName>
    <definedName name="Organisatie">Invulling!$B$4</definedName>
    <definedName name="Ov_Beloningen_1">Invulling!$B$93</definedName>
    <definedName name="Ov_Beloningen_2">Invulling!$C$93</definedName>
    <definedName name="Ov_Beloningen_3">Invulling!$D$93</definedName>
    <definedName name="Overige_uitbet_1">Invulling!$B$84</definedName>
    <definedName name="Overige_uitbet_2">Invulling!$C$84</definedName>
    <definedName name="Overige_uitbet_3">Invulling!$D$84</definedName>
    <definedName name="Richtlijn">'BSD tabellen'!$P$19</definedName>
    <definedName name="RichtlijnSub">'BSD tabellen'!$P$20</definedName>
    <definedName name="Toel_Bijz_Beloning">Invulling!$B$101</definedName>
    <definedName name="Toel_Omvang_FTE">Invulling!$C$29</definedName>
    <definedName name="Totale_Beloning_1">Invulling!$B$95</definedName>
    <definedName name="Totale_Beloning_2">Invulling!$C$95</definedName>
    <definedName name="Totale_Beloning_3">Invulling!$D$95</definedName>
    <definedName name="Vakantiegeld_1">Invulling!$B$82</definedName>
    <definedName name="Vakantiegeld_2">Invulling!$C$82</definedName>
    <definedName name="Vakantiegeld_3">Invulling!$D$82</definedName>
    <definedName name="Vertrek_janee_1">Invulling!$B$97</definedName>
    <definedName name="Vertrek_janee_2">Invulling!$C$97</definedName>
    <definedName name="Vertrek_janee_3">Invulling!$D$97</definedName>
    <definedName name="Vertrek_Regeling_1">Invulling!$B$99</definedName>
    <definedName name="Vertrek_Regeling_2">Invulling!$C$99</definedName>
    <definedName name="Vertrek_Regeling_3">Invulling!$D$99</definedName>
    <definedName name="WGD_Pensioen_1">Invulling!$B$90</definedName>
    <definedName name="WGD_Pensioen_2">Invulling!$C$90</definedName>
    <definedName name="WGD_Pensioen_3">Invulling!$D$90</definedName>
  </definedNames>
  <calcPr calcId="191029"/>
</workbook>
</file>

<file path=xl/calcChain.xml><?xml version="1.0" encoding="utf-8"?>
<calcChain xmlns="http://schemas.openxmlformats.org/spreadsheetml/2006/main">
  <c r="O9" i="4" l="1"/>
  <c r="O8" i="4"/>
  <c r="O7" i="4"/>
  <c r="O6" i="4"/>
  <c r="O5" i="4"/>
  <c r="O4" i="4"/>
  <c r="O3" i="4"/>
  <c r="A3" i="5" l="1"/>
  <c r="B2" i="5"/>
  <c r="A68" i="1"/>
  <c r="A2" i="1" l="1"/>
  <c r="A67" i="1"/>
  <c r="A1" i="1"/>
  <c r="A31" i="1" l="1"/>
  <c r="A32" i="1"/>
  <c r="A41" i="1" l="1"/>
  <c r="P17" i="4" l="1"/>
  <c r="C27" i="1"/>
  <c r="C22" i="1"/>
  <c r="C17" i="1"/>
  <c r="A29" i="1" l="1"/>
  <c r="H21" i="1" l="1"/>
  <c r="H26" i="1"/>
  <c r="E17" i="5" s="1"/>
  <c r="D16" i="5" l="1"/>
  <c r="E16" i="5"/>
  <c r="B103" i="1"/>
  <c r="B77" i="1"/>
  <c r="F32" i="5"/>
  <c r="E32" i="5"/>
  <c r="D32" i="5"/>
  <c r="B32" i="5"/>
  <c r="B26" i="5"/>
  <c r="F72" i="1" l="1"/>
  <c r="F71" i="1"/>
  <c r="F70" i="1"/>
  <c r="G71" i="1"/>
  <c r="G72" i="1"/>
  <c r="G75" i="1"/>
  <c r="G74" i="1"/>
  <c r="G73" i="1"/>
  <c r="F75" i="1"/>
  <c r="F74" i="1"/>
  <c r="F73" i="1"/>
  <c r="H71" i="1"/>
  <c r="H72" i="1"/>
  <c r="H56" i="1"/>
  <c r="E20" i="5" s="1"/>
  <c r="H47" i="1"/>
  <c r="E19" i="5" s="1"/>
  <c r="H36" i="1"/>
  <c r="E18" i="5" s="1"/>
  <c r="B10" i="5"/>
  <c r="B7" i="5"/>
  <c r="B8" i="5"/>
  <c r="B6" i="5"/>
  <c r="H16" i="1"/>
  <c r="A96" i="1"/>
  <c r="E15" i="5" l="1"/>
  <c r="E22" i="5"/>
  <c r="A64" i="1"/>
  <c r="H64" i="1"/>
  <c r="H70" i="1" s="1"/>
  <c r="F38" i="5"/>
  <c r="E38" i="5"/>
  <c r="D38" i="5"/>
  <c r="F35" i="5"/>
  <c r="E35" i="5"/>
  <c r="D35" i="5"/>
  <c r="H75" i="1" l="1"/>
  <c r="H73" i="1"/>
  <c r="H74" i="1"/>
  <c r="B38" i="5"/>
  <c r="B35" i="5"/>
  <c r="D18" i="5" l="1"/>
  <c r="D85" i="1"/>
  <c r="C38" i="5" l="1"/>
  <c r="C39" i="5" s="1"/>
  <c r="D95" i="1"/>
  <c r="B12" i="5"/>
  <c r="B11" i="5"/>
  <c r="G38" i="5" l="1"/>
  <c r="G40" i="5" s="1"/>
  <c r="B5" i="5"/>
  <c r="C85" i="1" l="1"/>
  <c r="C35" i="5" s="1"/>
  <c r="C36" i="5" s="1"/>
  <c r="B85" i="1"/>
  <c r="C32" i="5" s="1"/>
  <c r="B95" i="1" l="1"/>
  <c r="G32" i="5" s="1"/>
  <c r="B42" i="5" s="1"/>
  <c r="C95" i="1"/>
  <c r="D78" i="1"/>
  <c r="C78" i="1"/>
  <c r="B78" i="1"/>
  <c r="G34" i="5" l="1"/>
  <c r="G35" i="5"/>
  <c r="G37" i="5" s="1"/>
  <c r="G69" i="1"/>
  <c r="D29" i="5"/>
  <c r="D17" i="5"/>
  <c r="Q10" i="4"/>
  <c r="Q9" i="4"/>
  <c r="Q8" i="4"/>
  <c r="Q7" i="4"/>
  <c r="Q6" i="4"/>
  <c r="Q5" i="4"/>
  <c r="Q4" i="4"/>
  <c r="Q3" i="4"/>
  <c r="D19" i="5" l="1"/>
  <c r="D20" i="5"/>
  <c r="D15" i="5"/>
  <c r="D27" i="5"/>
  <c r="D28" i="5"/>
  <c r="C27" i="5"/>
  <c r="B28" i="5"/>
  <c r="C28" i="5"/>
  <c r="B29" i="5"/>
  <c r="C29" i="5"/>
  <c r="B27" i="5"/>
  <c r="F27" i="5" s="1"/>
  <c r="F29" i="5" l="1"/>
  <c r="F28" i="5"/>
  <c r="D22" i="5"/>
  <c r="E29" i="5"/>
  <c r="G29" i="5" s="1"/>
  <c r="E28" i="5" l="1"/>
  <c r="H28" i="5" s="1"/>
  <c r="E27" i="5"/>
  <c r="G27" i="5" s="1"/>
  <c r="C33" i="5" s="1"/>
  <c r="B41" i="5" s="1"/>
  <c r="H29" i="5"/>
  <c r="G28" i="5" l="1"/>
  <c r="H27" i="5"/>
</calcChain>
</file>

<file path=xl/sharedStrings.xml><?xml version="1.0" encoding="utf-8"?>
<sst xmlns="http://schemas.openxmlformats.org/spreadsheetml/2006/main" count="160" uniqueCount="124">
  <si>
    <t>Organisatie</t>
  </si>
  <si>
    <t>Ingevuld door</t>
  </si>
  <si>
    <t>Geaccordeerd door</t>
  </si>
  <si>
    <t>boekjaar aanvang</t>
  </si>
  <si>
    <t>boekjaar einde</t>
  </si>
  <si>
    <t>Betreft</t>
  </si>
  <si>
    <t>Dit formulier hoort bij de Regeling Beloning directeuren van goededoelenorganisaties.
Daarin wordt de waardering van directie-functies gereguleerd m.b.v. BSD-punten 
(Basis Score voor Directiefuncties).
Er zijn BSD-punten voor omvang, complexiteit en organisatorische context om zowel  kwantitatieve als kwalitatieve kenmerken van de goededoelenorganisatie tot uitdrukking te brengen.
Het directiemodel bepaalt de weging die aan individuele beloningen wordt toegekend om tot een BSD eindscore te komen.
De beloning van elk directielid wordt tegen het licht van die eindscore gehouden.</t>
  </si>
  <si>
    <t>OMVANG</t>
  </si>
  <si>
    <t>geef uw positie aan in deze bandbreedte</t>
  </si>
  <si>
    <t>BSD punten</t>
  </si>
  <si>
    <t>Type</t>
  </si>
  <si>
    <t>Omvang_FIN</t>
  </si>
  <si>
    <t>Omvang_FIN_BSD</t>
  </si>
  <si>
    <t>Omvang_FTE</t>
  </si>
  <si>
    <t>Omvang_FTE_BSD</t>
  </si>
  <si>
    <t>Sal_BSD_min</t>
  </si>
  <si>
    <t>Sal_BSD_max</t>
  </si>
  <si>
    <t>Jaar€ min</t>
  </si>
  <si>
    <t>Jaar€ max</t>
  </si>
  <si>
    <t>SALSCHAAL</t>
  </si>
  <si>
    <t>COMPLEXITEIT</t>
  </si>
  <si>
    <t>CONTEXT</t>
  </si>
  <si>
    <t>koepel</t>
  </si>
  <si>
    <t>directie</t>
  </si>
  <si>
    <t>Org_type</t>
  </si>
  <si>
    <t>Lid1</t>
  </si>
  <si>
    <t>Lid2</t>
  </si>
  <si>
    <t>Lid3</t>
  </si>
  <si>
    <t>€</t>
  </si>
  <si>
    <t>min</t>
  </si>
  <si>
    <t>norm</t>
  </si>
  <si>
    <t>max</t>
  </si>
  <si>
    <t>#</t>
  </si>
  <si>
    <t>C</t>
  </si>
  <si>
    <t>H1</t>
  </si>
  <si>
    <t>K</t>
  </si>
  <si>
    <t>D</t>
  </si>
  <si>
    <t>H2</t>
  </si>
  <si>
    <t>M</t>
  </si>
  <si>
    <t>E</t>
  </si>
  <si>
    <t>H2v</t>
  </si>
  <si>
    <t>G</t>
  </si>
  <si>
    <t>F</t>
  </si>
  <si>
    <t>H3</t>
  </si>
  <si>
    <t>ZG</t>
  </si>
  <si>
    <t>H3v</t>
  </si>
  <si>
    <t>H</t>
  </si>
  <si>
    <t>H3ev</t>
  </si>
  <si>
    <t>I</t>
  </si>
  <si>
    <t>J</t>
  </si>
  <si>
    <t>Uw organisatie
vervult de rol van:</t>
  </si>
  <si>
    <t>ORGANISATORISCHE CONTEXT</t>
  </si>
  <si>
    <t>Aansturing vanuit koepelorganisatie:</t>
  </si>
  <si>
    <t>Rolverdeling
bevoegd gezag / directie</t>
  </si>
  <si>
    <t>U kiest de wijze van toezicht houden die het best op uw organisatie van toepassing is.
U moet voor een tussenscore kiezen als de praktijk van uw organisatie in gelijke mate overeenkomt met de wijze van toezicht houden erboven, als met de vorm van toezicht houden eronder.
Als uw organisatie opereert in een sterk van invloed zijnde politieke of anderszins gespannen situatie mag de score één categorie hoger worden ingevuld.</t>
  </si>
  <si>
    <t>U kiest de vorm van aansturing die het best op uw organisatie van toepassing is.
U moet voor een tussenscore kiezen als de praktijk van uw organisatie in gelijke mate overeenkomt met de vorm van aansturing erboven, als met de vorm van aansturing eronder.
Als uw organisatie opereert in een sterk van invloed zijnde politieke of anderszins gespannen situatie mag de score één categorie hoger worden ingevuld.</t>
  </si>
  <si>
    <t>DIRECTIE MODEL</t>
  </si>
  <si>
    <t>Kies het
directiemodel
van uw organisatie</t>
  </si>
  <si>
    <t>ORGANISATIE TOTAAL</t>
  </si>
  <si>
    <t>Bruto jaarloon</t>
  </si>
  <si>
    <t>Vakantiegeld</t>
  </si>
  <si>
    <t>Eindejaarsuitkering</t>
  </si>
  <si>
    <t>Overige uitbetalingen</t>
  </si>
  <si>
    <t>BELONING</t>
  </si>
  <si>
    <t>JAARINKOMEN</t>
  </si>
  <si>
    <t>BELASTE VERGOEDINGEN/ BIJTELLINGEN</t>
  </si>
  <si>
    <t>bruto totaal</t>
  </si>
  <si>
    <t>WERKGEVERS BIJDRAGE PENSIOEN</t>
  </si>
  <si>
    <t>OVERIGE BELONIN-GEN OP TERMIJN</t>
  </si>
  <si>
    <t>besteding aan doelstellingen
(conform RJ650)</t>
  </si>
  <si>
    <t>Is er een Vertrekregeling?</t>
  </si>
  <si>
    <t xml:space="preserve"> zoals pensioencompensatie</t>
  </si>
  <si>
    <t>Datum akkoord</t>
  </si>
  <si>
    <t>Geaccordeerd</t>
  </si>
  <si>
    <t>BSD Punten</t>
  </si>
  <si>
    <t>complexiteit</t>
  </si>
  <si>
    <t>context aansturing</t>
  </si>
  <si>
    <t>context rolverdeling</t>
  </si>
  <si>
    <t>omvang personeel</t>
  </si>
  <si>
    <t>Directie Model</t>
  </si>
  <si>
    <t>aantal FTE
(bezoldigd en onbezoldigd 
in centrale 
organisatie)</t>
  </si>
  <si>
    <t>WG bijdr.
Pensioen</t>
  </si>
  <si>
    <t>Ov.Beloningen
op termijn</t>
  </si>
  <si>
    <t>Totaal</t>
  </si>
  <si>
    <t>TOTAAL</t>
  </si>
  <si>
    <t>Jaar-
Inkomen</t>
  </si>
  <si>
    <r>
      <t xml:space="preserve">Beloning
</t>
    </r>
    <r>
      <rPr>
        <b/>
        <sz val="10"/>
        <color theme="1"/>
        <rFont val="Calibri"/>
        <family val="2"/>
      </rPr>
      <t>(bruto bedragen)</t>
    </r>
  </si>
  <si>
    <t>Belaste ver-goedingen/
bijtellingen</t>
  </si>
  <si>
    <t>←</t>
  </si>
  <si>
    <t>Verantwoording bijzondere beloningen</t>
  </si>
  <si>
    <t>ruimte voor toelichting op het aantal medewerkers t.o.v. het aantal FTE en op evt. onbezoldiging</t>
  </si>
  <si>
    <t>Betreft het eigen beeld van</t>
  </si>
  <si>
    <t>zoals jubileumuitkering of afrekening vak.dagen</t>
  </si>
  <si>
    <t>alleen als die geldt voor alle medewerkers</t>
  </si>
  <si>
    <r>
      <rPr>
        <b/>
        <sz val="8"/>
        <color theme="1"/>
        <rFont val="Calibri"/>
        <family val="2"/>
      </rPr>
      <t>Invulinstructie:</t>
    </r>
    <r>
      <rPr>
        <sz val="8"/>
        <color theme="1"/>
        <rFont val="Calibri"/>
        <family val="2"/>
      </rPr>
      <t xml:space="preserve">
</t>
    </r>
    <r>
      <rPr>
        <b/>
        <sz val="11"/>
        <color theme="1"/>
        <rFont val="Calibri"/>
        <family val="2"/>
      </rPr>
      <t xml:space="preserve">groene velden </t>
    </r>
    <r>
      <rPr>
        <b/>
        <i/>
        <sz val="11"/>
        <color theme="1"/>
        <rFont val="Calibri"/>
        <family val="2"/>
      </rPr>
      <t>moeten</t>
    </r>
    <r>
      <rPr>
        <b/>
        <sz val="11"/>
        <color theme="1"/>
        <rFont val="Calibri"/>
        <family val="2"/>
      </rPr>
      <t xml:space="preserve"> worden ingevuld
lichtgele velden </t>
    </r>
    <r>
      <rPr>
        <b/>
        <i/>
        <sz val="11"/>
        <color theme="1"/>
        <rFont val="Calibri"/>
        <family val="2"/>
      </rPr>
      <t>mogen</t>
    </r>
    <r>
      <rPr>
        <b/>
        <sz val="11"/>
        <color theme="1"/>
        <rFont val="Calibri"/>
        <family val="2"/>
      </rPr>
      <t xml:space="preserve"> worden ingevuld</t>
    </r>
  </si>
  <si>
    <t>jaarinkomen</t>
  </si>
  <si>
    <t>schaal</t>
  </si>
  <si>
    <t>U kiest de rol die het best op uw organisatie van toepassing is. Die is minimaal Financier.
In het geval uw organisatie weliswaar Volledig zelfstandig uitvoerende functies vervult, maar toch geen coördinator en/of spil in het werkveld is, moet u kiezen voor Coördinator.
U moet voor een tussenscore kiezen als de praktijk van uw organisatie in gelijke mate overeenkomt met de rol erboven, als met de rol eronder.
Als uw organisatie opereert in een sterk van invloed zijnde politieke of anderszins gespannen situatie mag de score één categorie hoger worden ingevuld.</t>
  </si>
  <si>
    <t>beheer reserves
voor doelstellingen</t>
  </si>
  <si>
    <t>Omvang_FDS_BSD</t>
  </si>
  <si>
    <t>€ Omzet</t>
  </si>
  <si>
    <t>omvang financieel vermogen</t>
  </si>
  <si>
    <t>omvang financieel omzet</t>
  </si>
  <si>
    <t>betreft regeling november 2020 en aanhangsels 1 en 2</t>
  </si>
  <si>
    <t>jjjj - mm
voorbeeld 2020 - 07</t>
  </si>
  <si>
    <t>jjjj - mm
voorbeeld 2021 - 06</t>
  </si>
  <si>
    <t>(bij deeltijd aanstelling alle beloningen omrekenen naar voltijdsbeloning)</t>
  </si>
  <si>
    <t>normdatum</t>
  </si>
  <si>
    <t>cao Rijk 2018-2020</t>
  </si>
  <si>
    <t>salarisbron</t>
  </si>
  <si>
    <t>Waarschuwingstekst</t>
  </si>
  <si>
    <t>salarisniveau</t>
  </si>
  <si>
    <t>Is er bij indiensttreding een vertrekregeling overeengekomen en/of zijn er uitkeringen gedaan i.v.m. einde dienstverband?</t>
  </si>
  <si>
    <t>€ Vermogen</t>
  </si>
  <si>
    <t># Personeel</t>
  </si>
  <si>
    <t>Complexiteit</t>
  </si>
  <si>
    <t>Aansturing</t>
  </si>
  <si>
    <t>Rolverdeling</t>
  </si>
  <si>
    <t>Bruto Totaal</t>
  </si>
  <si>
    <t xml:space="preserve"> Bruto Organisatietotaal</t>
  </si>
  <si>
    <t>Richtlijn Directiebeloning november 2020</t>
  </si>
  <si>
    <t>Richtlijn</t>
  </si>
  <si>
    <t>precisering</t>
  </si>
  <si>
    <t>inclusief aanhangsels 1 t/m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</si>
</sst>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quot;€&quot;\ * #,##0_ ;_ &quot;€&quot;\ * \-#,##0_ ;_ &quot;€&quot;\ * &quot;-&quot;??_ ;_ @_ "/>
    <numFmt numFmtId="166" formatCode="yyyy/mm"/>
    <numFmt numFmtId="167" formatCode="d\ mmmm\ yyyy"/>
  </numFmts>
  <fonts count="23" x14ac:knownFonts="1">
    <font>
      <sz val="10"/>
      <color theme="1"/>
      <name val="Calibri"/>
      <family val="2"/>
    </font>
    <font>
      <sz val="10"/>
      <color theme="1"/>
      <name val="Calibri"/>
      <family val="2"/>
    </font>
    <font>
      <b/>
      <sz val="10"/>
      <color theme="1"/>
      <name val="Calibri"/>
      <family val="2"/>
    </font>
    <font>
      <sz val="10"/>
      <color theme="0"/>
      <name val="Calibri"/>
      <family val="2"/>
    </font>
    <font>
      <sz val="9"/>
      <color theme="1"/>
      <name val="Calibri"/>
      <family val="2"/>
    </font>
    <font>
      <sz val="8"/>
      <color theme="1"/>
      <name val="Calibri"/>
      <family val="2"/>
    </font>
    <font>
      <sz val="7"/>
      <color theme="1"/>
      <name val="Calibri"/>
      <family val="2"/>
    </font>
    <font>
      <b/>
      <sz val="8"/>
      <color theme="1"/>
      <name val="Calibri"/>
      <family val="2"/>
    </font>
    <font>
      <sz val="10"/>
      <name val="Arial"/>
      <family val="2"/>
    </font>
    <font>
      <sz val="10"/>
      <color theme="0" tint="-0.14999847407452621"/>
      <name val="Arial"/>
      <family val="2"/>
    </font>
    <font>
      <sz val="14"/>
      <color theme="1"/>
      <name val="Calibri"/>
      <family val="2"/>
    </font>
    <font>
      <sz val="16"/>
      <color theme="1"/>
      <name val="Calibri"/>
      <family val="2"/>
    </font>
    <font>
      <sz val="8"/>
      <color rgb="FF000000"/>
      <name val="Tahoma"/>
      <family val="2"/>
    </font>
    <font>
      <b/>
      <sz val="11"/>
      <color theme="1"/>
      <name val="Calibri"/>
      <family val="2"/>
    </font>
    <font>
      <b/>
      <sz val="14"/>
      <color theme="1"/>
      <name val="Calibri"/>
      <family val="2"/>
    </font>
    <font>
      <b/>
      <sz val="16"/>
      <color theme="1"/>
      <name val="Calibri"/>
      <family val="2"/>
    </font>
    <font>
      <sz val="12"/>
      <color theme="1"/>
      <name val="Calibri"/>
      <family val="2"/>
    </font>
    <font>
      <b/>
      <sz val="10"/>
      <color theme="0"/>
      <name val="Calibri"/>
      <family val="2"/>
    </font>
    <font>
      <b/>
      <i/>
      <sz val="11"/>
      <color theme="1"/>
      <name val="Calibri"/>
      <family val="2"/>
    </font>
    <font>
      <b/>
      <sz val="10"/>
      <name val="Arial"/>
      <family val="2"/>
    </font>
    <font>
      <i/>
      <sz val="10"/>
      <color theme="1"/>
      <name val="Calibri"/>
      <family val="2"/>
    </font>
    <font>
      <i/>
      <sz val="8"/>
      <color theme="1"/>
      <name val="Calibri"/>
      <family val="2"/>
    </font>
    <font>
      <b/>
      <sz val="12"/>
      <color theme="1"/>
      <name val="Calibri"/>
      <family val="2"/>
    </font>
  </fonts>
  <fills count="15">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C000"/>
        <bgColor indexed="64"/>
      </patternFill>
    </fill>
    <fill>
      <patternFill patternType="solid">
        <fgColor rgb="FFDDEBF7"/>
        <bgColor indexed="64"/>
      </patternFill>
    </fill>
    <fill>
      <patternFill patternType="solid">
        <fgColor rgb="FFE0D9FB"/>
        <bgColor indexed="64"/>
      </patternFill>
    </fill>
    <fill>
      <patternFill patternType="solid">
        <fgColor rgb="FFFFF2CC"/>
        <bgColor indexed="64"/>
      </patternFill>
    </fill>
    <fill>
      <patternFill patternType="solid">
        <fgColor rgb="FFE2EFDA"/>
        <bgColor indexed="64"/>
      </patternFill>
    </fill>
    <fill>
      <patternFill patternType="solid">
        <fgColor rgb="FFE2FCCE"/>
        <bgColor indexed="64"/>
      </patternFill>
    </fill>
    <fill>
      <patternFill patternType="solid">
        <fgColor rgb="FFFFFF00"/>
        <bgColor indexed="64"/>
      </patternFill>
    </fill>
  </fills>
  <borders count="4">
    <border>
      <left/>
      <right/>
      <top/>
      <bottom/>
      <diagonal/>
    </border>
    <border>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7">
    <xf numFmtId="0" fontId="0" fillId="0" borderId="0"/>
    <xf numFmtId="9" fontId="1"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164" fontId="1" fillId="0" borderId="0" applyFont="0" applyFill="0" applyBorder="0" applyAlignment="0" applyProtection="0"/>
  </cellStyleXfs>
  <cellXfs count="109">
    <xf numFmtId="0" fontId="0" fillId="0" borderId="0" xfId="0"/>
    <xf numFmtId="0" fontId="4" fillId="0" borderId="0" xfId="0" applyFont="1"/>
    <xf numFmtId="0" fontId="6" fillId="0" borderId="0" xfId="0" applyFont="1" applyAlignment="1">
      <alignment horizontal="center" vertical="top" wrapText="1"/>
    </xf>
    <xf numFmtId="0" fontId="0" fillId="0" borderId="0" xfId="0" applyAlignment="1">
      <alignment horizontal="center"/>
    </xf>
    <xf numFmtId="0" fontId="0" fillId="0" borderId="0" xfId="0" applyAlignment="1">
      <alignment horizontal="center"/>
    </xf>
    <xf numFmtId="0" fontId="0" fillId="0" borderId="0" xfId="0" applyAlignment="1">
      <alignment horizontal="left"/>
    </xf>
    <xf numFmtId="0" fontId="2" fillId="0" borderId="0" xfId="0" applyFont="1" applyAlignment="1">
      <alignment vertical="center"/>
    </xf>
    <xf numFmtId="0" fontId="2" fillId="0" borderId="0" xfId="0" applyFont="1"/>
    <xf numFmtId="0" fontId="8" fillId="0" borderId="0" xfId="2" applyFont="1"/>
    <xf numFmtId="0" fontId="8" fillId="4" borderId="0" xfId="2" applyFont="1" applyFill="1"/>
    <xf numFmtId="0" fontId="8" fillId="0" borderId="0" xfId="2"/>
    <xf numFmtId="0" fontId="9" fillId="0" borderId="0" xfId="2" applyFont="1"/>
    <xf numFmtId="0" fontId="8" fillId="5" borderId="0" xfId="2" applyFont="1" applyFill="1"/>
    <xf numFmtId="0" fontId="8" fillId="0" borderId="0" xfId="2" applyFont="1" applyFill="1"/>
    <xf numFmtId="0" fontId="8" fillId="6" borderId="0" xfId="2" applyFont="1" applyFill="1"/>
    <xf numFmtId="164" fontId="8" fillId="4" borderId="0" xfId="3" applyFont="1" applyFill="1" applyAlignment="1">
      <alignment horizontal="center"/>
    </xf>
    <xf numFmtId="0" fontId="8" fillId="7" borderId="0" xfId="2" applyFont="1" applyFill="1" applyAlignment="1">
      <alignment horizontal="center"/>
    </xf>
    <xf numFmtId="0" fontId="8" fillId="0" borderId="0" xfId="2" applyFont="1" applyAlignment="1">
      <alignment horizontal="center"/>
    </xf>
    <xf numFmtId="165" fontId="9" fillId="0" borderId="0" xfId="3" applyNumberFormat="1" applyFont="1"/>
    <xf numFmtId="165" fontId="0" fillId="0" borderId="0" xfId="3" applyNumberFormat="1" applyFont="1"/>
    <xf numFmtId="9" fontId="8" fillId="0" borderId="0" xfId="2" applyNumberFormat="1"/>
    <xf numFmtId="3" fontId="8" fillId="0" borderId="0" xfId="2" applyNumberFormat="1"/>
    <xf numFmtId="0" fontId="8" fillId="7" borderId="0" xfId="2" applyFill="1"/>
    <xf numFmtId="0" fontId="8" fillId="0" borderId="0" xfId="2" applyFill="1"/>
    <xf numFmtId="0" fontId="8" fillId="8" borderId="0" xfId="2" applyFill="1"/>
    <xf numFmtId="0" fontId="0" fillId="0" borderId="0" xfId="0" applyAlignment="1">
      <alignment horizontal="right"/>
    </xf>
    <xf numFmtId="0" fontId="4" fillId="0" borderId="0" xfId="0" applyFont="1" applyAlignment="1">
      <alignment horizontal="left"/>
    </xf>
    <xf numFmtId="0" fontId="11" fillId="8" borderId="0" xfId="0" applyFont="1" applyFill="1"/>
    <xf numFmtId="0" fontId="0" fillId="0" borderId="0" xfId="0" applyFill="1"/>
    <xf numFmtId="9" fontId="0" fillId="0" borderId="0" xfId="1" applyFont="1"/>
    <xf numFmtId="0" fontId="11" fillId="0" borderId="0" xfId="0" applyFont="1" applyFill="1"/>
    <xf numFmtId="0" fontId="3" fillId="0" borderId="0" xfId="0" applyFont="1" applyProtection="1">
      <protection locked="0" hidden="1"/>
    </xf>
    <xf numFmtId="0" fontId="0" fillId="0" borderId="0" xfId="0" applyAlignment="1">
      <alignment horizontal="left" wrapText="1"/>
    </xf>
    <xf numFmtId="0" fontId="2" fillId="0" borderId="0" xfId="0" applyFont="1" applyAlignment="1">
      <alignment wrapText="1"/>
    </xf>
    <xf numFmtId="0" fontId="3" fillId="0" borderId="0" xfId="0" applyFont="1"/>
    <xf numFmtId="0" fontId="3" fillId="0" borderId="0" xfId="0" applyFont="1" applyAlignment="1">
      <alignment horizontal="right"/>
    </xf>
    <xf numFmtId="0" fontId="14" fillId="0" borderId="0" xfId="0" applyFont="1"/>
    <xf numFmtId="0" fontId="11" fillId="9" borderId="0" xfId="0" applyFont="1" applyFill="1"/>
    <xf numFmtId="0" fontId="11" fillId="10" borderId="0" xfId="0" applyFont="1" applyFill="1"/>
    <xf numFmtId="0" fontId="11" fillId="11" borderId="0" xfId="0" applyFont="1" applyFill="1"/>
    <xf numFmtId="0" fontId="11" fillId="12" borderId="0" xfId="0" applyFont="1" applyFill="1"/>
    <xf numFmtId="0" fontId="11" fillId="13" borderId="0" xfId="0" applyFont="1" applyFill="1"/>
    <xf numFmtId="9" fontId="16" fillId="0" borderId="0" xfId="1" applyFont="1"/>
    <xf numFmtId="165" fontId="10" fillId="0" borderId="0" xfId="6" applyNumberFormat="1" applyFont="1"/>
    <xf numFmtId="0" fontId="11" fillId="0" borderId="0" xfId="0" applyFont="1" applyAlignment="1">
      <alignment horizontal="center"/>
    </xf>
    <xf numFmtId="165" fontId="3" fillId="0" borderId="0" xfId="0" applyNumberFormat="1" applyFont="1"/>
    <xf numFmtId="165" fontId="0" fillId="0" borderId="0" xfId="0" applyNumberFormat="1" applyFill="1" applyBorder="1" applyAlignment="1" applyProtection="1">
      <alignment horizontal="right"/>
      <protection locked="0"/>
    </xf>
    <xf numFmtId="0" fontId="0" fillId="0" borderId="0" xfId="0" applyAlignment="1">
      <alignment wrapText="1"/>
    </xf>
    <xf numFmtId="0" fontId="16" fillId="0" borderId="0" xfId="0" applyFont="1"/>
    <xf numFmtId="1" fontId="16" fillId="0" borderId="0" xfId="0" applyNumberFormat="1" applyFont="1"/>
    <xf numFmtId="0" fontId="2" fillId="0" borderId="0" xfId="0" applyFont="1" applyAlignment="1"/>
    <xf numFmtId="0" fontId="0" fillId="0" borderId="0" xfId="0" applyAlignment="1">
      <alignment horizontal="left"/>
    </xf>
    <xf numFmtId="0" fontId="14" fillId="0" borderId="0" xfId="0" applyFont="1" applyAlignment="1">
      <alignment vertical="top" wrapText="1"/>
    </xf>
    <xf numFmtId="0" fontId="0" fillId="0" borderId="0" xfId="0" applyAlignment="1">
      <alignment vertical="top" wrapText="1"/>
    </xf>
    <xf numFmtId="0" fontId="19" fillId="14" borderId="0" xfId="2" applyFont="1" applyFill="1"/>
    <xf numFmtId="166" fontId="0" fillId="2" borderId="2" xfId="0" applyNumberFormat="1" applyFill="1" applyBorder="1" applyAlignment="1" applyProtection="1">
      <alignment horizontal="center" vertical="center"/>
      <protection locked="0"/>
    </xf>
    <xf numFmtId="166" fontId="0" fillId="2" borderId="3" xfId="0" applyNumberFormat="1" applyFill="1" applyBorder="1" applyAlignment="1" applyProtection="1">
      <alignment horizontal="center" vertical="center"/>
      <protection locked="0"/>
    </xf>
    <xf numFmtId="0" fontId="0" fillId="0" borderId="0" xfId="0" applyAlignment="1"/>
    <xf numFmtId="0" fontId="17" fillId="0" borderId="0" xfId="0" applyFont="1" applyAlignment="1">
      <alignment vertical="top" wrapText="1"/>
    </xf>
    <xf numFmtId="0" fontId="2" fillId="0" borderId="0" xfId="0" applyFont="1" applyAlignment="1">
      <alignment horizontal="left"/>
    </xf>
    <xf numFmtId="0" fontId="3" fillId="0" borderId="0" xfId="6" applyNumberFormat="1" applyFont="1" applyProtection="1">
      <protection locked="0"/>
    </xf>
    <xf numFmtId="0" fontId="3" fillId="0" borderId="0" xfId="0" applyFont="1" applyProtection="1">
      <protection locked="0"/>
    </xf>
    <xf numFmtId="0" fontId="13" fillId="0" borderId="0" xfId="0" applyFont="1" applyAlignment="1">
      <alignment horizontal="center" vertical="center"/>
    </xf>
    <xf numFmtId="0" fontId="13" fillId="0" borderId="0" xfId="0" applyFont="1" applyAlignment="1">
      <alignment horizontal="right" vertical="center"/>
    </xf>
    <xf numFmtId="165" fontId="17" fillId="0" borderId="0" xfId="0" applyNumberFormat="1" applyFont="1" applyBorder="1"/>
    <xf numFmtId="0" fontId="0" fillId="0" borderId="0" xfId="0" applyAlignment="1">
      <alignment horizontal="center"/>
    </xf>
    <xf numFmtId="0" fontId="8" fillId="4" borderId="0" xfId="2" applyFont="1" applyFill="1" applyAlignment="1">
      <alignment horizontal="center"/>
    </xf>
    <xf numFmtId="0" fontId="8" fillId="14" borderId="0" xfId="2" applyFill="1"/>
    <xf numFmtId="0" fontId="0" fillId="0" borderId="0" xfId="0" applyBorder="1"/>
    <xf numFmtId="0" fontId="21" fillId="0" borderId="0" xfId="0" applyFont="1" applyAlignment="1">
      <alignment vertical="top"/>
    </xf>
    <xf numFmtId="167" fontId="8" fillId="14" borderId="0" xfId="2" applyNumberFormat="1" applyFill="1"/>
    <xf numFmtId="0" fontId="8" fillId="0" borderId="0" xfId="2" applyAlignment="1">
      <alignment horizontal="right"/>
    </xf>
    <xf numFmtId="0" fontId="22" fillId="0" borderId="0" xfId="0" applyFont="1" applyAlignment="1">
      <alignment horizontal="center" vertical="center"/>
    </xf>
    <xf numFmtId="0" fontId="13" fillId="0" borderId="0" xfId="0" applyFont="1"/>
    <xf numFmtId="0" fontId="8" fillId="0" borderId="0" xfId="2" applyAlignment="1">
      <alignment horizontal="center"/>
    </xf>
    <xf numFmtId="0" fontId="6" fillId="0" borderId="0" xfId="0" applyFont="1" applyAlignment="1">
      <alignment horizontal="left" vertical="top" wrapText="1"/>
    </xf>
    <xf numFmtId="0" fontId="0" fillId="0" borderId="0" xfId="0" applyAlignment="1">
      <alignment horizontal="center"/>
    </xf>
    <xf numFmtId="165" fontId="0" fillId="0" borderId="0" xfId="0" applyNumberFormat="1" applyFill="1" applyBorder="1" applyAlignment="1" applyProtection="1">
      <alignment horizontal="right"/>
      <protection locked="0"/>
    </xf>
    <xf numFmtId="0" fontId="0" fillId="2" borderId="1" xfId="0" applyFill="1" applyBorder="1" applyAlignment="1" applyProtection="1">
      <alignment horizontal="left" vertical="center" wrapText="1"/>
      <protection locked="0"/>
    </xf>
    <xf numFmtId="0" fontId="0" fillId="0" borderId="0" xfId="0" applyAlignment="1">
      <alignment horizontal="left" vertical="center" textRotation="90" wrapText="1"/>
    </xf>
    <xf numFmtId="0" fontId="0" fillId="0" borderId="0" xfId="0" applyAlignment="1">
      <alignment horizontal="left" vertical="top" wrapText="1"/>
    </xf>
    <xf numFmtId="0" fontId="0" fillId="2" borderId="2" xfId="0" applyFill="1" applyBorder="1" applyAlignment="1" applyProtection="1">
      <alignment horizontal="left" vertical="center" wrapText="1"/>
      <protection locked="0"/>
    </xf>
    <xf numFmtId="0" fontId="20" fillId="0" borderId="0" xfId="0" applyFont="1" applyAlignment="1">
      <alignment horizontal="left" wrapText="1"/>
    </xf>
    <xf numFmtId="0" fontId="20" fillId="0" borderId="0" xfId="0" applyFont="1" applyAlignment="1">
      <alignment horizontal="left"/>
    </xf>
    <xf numFmtId="0" fontId="0" fillId="3" borderId="0" xfId="0" applyFill="1" applyAlignment="1" applyProtection="1">
      <alignment horizontal="left" vertical="top"/>
      <protection locked="0"/>
    </xf>
    <xf numFmtId="0" fontId="4" fillId="0" borderId="0" xfId="0" applyFont="1" applyAlignment="1">
      <alignment horizontal="left" vertical="center"/>
    </xf>
    <xf numFmtId="0" fontId="4" fillId="0" borderId="0" xfId="0" applyFont="1" applyAlignment="1" applyProtection="1">
      <alignment horizontal="left" vertical="center"/>
    </xf>
    <xf numFmtId="0" fontId="6" fillId="0" borderId="0" xfId="0" applyFont="1" applyAlignment="1">
      <alignment horizontal="left"/>
    </xf>
    <xf numFmtId="0" fontId="0" fillId="0" borderId="0" xfId="0" applyAlignment="1">
      <alignment horizontal="left" vertical="top"/>
    </xf>
    <xf numFmtId="0" fontId="2" fillId="0" borderId="0" xfId="0" applyFont="1" applyBorder="1" applyAlignment="1">
      <alignment horizontal="center"/>
    </xf>
    <xf numFmtId="0" fontId="2" fillId="0" borderId="0" xfId="0" applyFont="1" applyAlignment="1">
      <alignment horizontal="center" vertical="top"/>
    </xf>
    <xf numFmtId="14" fontId="0" fillId="2" borderId="2" xfId="0" applyNumberFormat="1" applyFill="1" applyBorder="1" applyAlignment="1" applyProtection="1">
      <alignment horizontal="left" vertical="center" wrapText="1"/>
      <protection locked="0"/>
    </xf>
    <xf numFmtId="0" fontId="5" fillId="14" borderId="0" xfId="0" applyFont="1" applyFill="1" applyBorder="1" applyAlignment="1">
      <alignment horizontal="left" vertical="top" wrapText="1"/>
    </xf>
    <xf numFmtId="0" fontId="5" fillId="14" borderId="0" xfId="0" applyFont="1" applyFill="1" applyBorder="1" applyAlignment="1">
      <alignment horizontal="left" vertical="top"/>
    </xf>
    <xf numFmtId="0" fontId="4" fillId="0" borderId="0" xfId="0" applyFont="1" applyAlignment="1">
      <alignment horizontal="left" vertical="center" textRotation="90" wrapText="1"/>
    </xf>
    <xf numFmtId="0" fontId="0" fillId="0" borderId="0" xfId="0" applyAlignment="1">
      <alignment horizontal="left" vertical="center"/>
    </xf>
    <xf numFmtId="0" fontId="0" fillId="3" borderId="0" xfId="0" applyFill="1" applyBorder="1" applyAlignment="1" applyProtection="1">
      <alignment horizontal="left" vertical="top"/>
      <protection locked="0"/>
    </xf>
    <xf numFmtId="0" fontId="3" fillId="0" borderId="0" xfId="0" applyFont="1" applyBorder="1" applyAlignment="1" applyProtection="1">
      <alignment horizontal="right"/>
      <protection locked="0"/>
    </xf>
    <xf numFmtId="0" fontId="6" fillId="0" borderId="0" xfId="0" applyFont="1" applyBorder="1" applyAlignment="1">
      <alignment horizontal="left" vertical="center"/>
    </xf>
    <xf numFmtId="0" fontId="6" fillId="0" borderId="0" xfId="0" applyFont="1" applyAlignment="1">
      <alignment horizontal="left" vertical="center"/>
    </xf>
    <xf numFmtId="165" fontId="17" fillId="0" borderId="0" xfId="0" applyNumberFormat="1" applyFont="1" applyBorder="1" applyAlignment="1">
      <alignment horizontal="right"/>
    </xf>
    <xf numFmtId="165" fontId="3" fillId="0" borderId="0" xfId="0" applyNumberFormat="1" applyFont="1" applyBorder="1" applyAlignment="1">
      <alignment horizontal="right"/>
    </xf>
    <xf numFmtId="0" fontId="2" fillId="0" borderId="0" xfId="0" applyFont="1" applyAlignment="1">
      <alignment horizontal="left" wrapText="1"/>
    </xf>
    <xf numFmtId="0" fontId="15" fillId="0" borderId="0" xfId="0" applyFont="1" applyAlignment="1">
      <alignment horizontal="left" vertical="center"/>
    </xf>
    <xf numFmtId="0" fontId="2" fillId="0" borderId="0" xfId="0" applyFont="1" applyAlignment="1">
      <alignment horizontal="center" vertical="top" wrapText="1"/>
    </xf>
    <xf numFmtId="0" fontId="2" fillId="0" borderId="0" xfId="0" applyFont="1" applyAlignment="1">
      <alignment horizontal="center"/>
    </xf>
    <xf numFmtId="0" fontId="0" fillId="0" borderId="0" xfId="0" applyAlignment="1">
      <alignment horizontal="left"/>
    </xf>
    <xf numFmtId="0" fontId="13" fillId="0" borderId="0" xfId="0" applyFont="1" applyAlignment="1">
      <alignment horizontal="left" vertical="center"/>
    </xf>
    <xf numFmtId="0" fontId="8" fillId="4" borderId="0" xfId="2" applyFont="1" applyFill="1" applyAlignment="1">
      <alignment horizontal="center"/>
    </xf>
  </cellXfs>
  <cellStyles count="7">
    <cellStyle name="Procent" xfId="1" builtinId="5"/>
    <cellStyle name="Procent 2" xfId="4" xr:uid="{00000000-0005-0000-0000-000001000000}"/>
    <cellStyle name="Standaard" xfId="0" builtinId="0"/>
    <cellStyle name="Standaard 2" xfId="2" xr:uid="{00000000-0005-0000-0000-000003000000}"/>
    <cellStyle name="Standaard 3" xfId="5" xr:uid="{00000000-0005-0000-0000-000004000000}"/>
    <cellStyle name="Valuta" xfId="6" builtinId="4"/>
    <cellStyle name="Valuta 2" xfId="3" xr:uid="{00000000-0005-0000-0000-000006000000}"/>
  </cellStyles>
  <dxfs count="68">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C0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CCFFCC"/>
        </patternFill>
      </fill>
    </dxf>
    <dxf>
      <font>
        <strike val="0"/>
        <color auto="1"/>
      </font>
      <border>
        <left style="thin">
          <color auto="1"/>
        </left>
        <right style="thin">
          <color auto="1"/>
        </right>
        <top style="thin">
          <color auto="1"/>
        </top>
        <bottom style="thin">
          <color auto="1"/>
        </bottom>
        <vertical/>
        <horizontal/>
      </border>
    </dxf>
    <dxf>
      <font>
        <color theme="0"/>
      </font>
    </dxf>
    <dxf>
      <font>
        <color theme="0"/>
      </font>
    </dxf>
    <dxf>
      <fill>
        <patternFill>
          <bgColor rgb="FFCCFFCC"/>
        </patternFill>
      </fill>
      <border>
        <left style="thin">
          <color auto="1"/>
        </left>
        <right style="thin">
          <color auto="1"/>
        </right>
        <top style="thin">
          <color auto="1"/>
        </top>
        <bottom style="thin">
          <color auto="1"/>
        </bottom>
        <vertical/>
        <horizontal/>
      </border>
    </dxf>
    <dxf>
      <font>
        <color theme="0"/>
      </font>
      <fill>
        <patternFill>
          <bgColor rgb="FFFF0000"/>
        </patternFill>
      </fill>
    </dxf>
    <dxf>
      <font>
        <strike val="0"/>
        <color auto="1"/>
      </font>
      <border>
        <left style="thin">
          <color auto="1"/>
        </left>
        <right style="thin">
          <color auto="1"/>
        </right>
        <top style="thin">
          <color auto="1"/>
        </top>
        <bottom style="thin">
          <color auto="1"/>
        </bottom>
        <vertical/>
        <horizontal/>
      </border>
    </dxf>
    <dxf>
      <font>
        <strike val="0"/>
        <color auto="1"/>
      </font>
      <border>
        <left style="thin">
          <color auto="1"/>
        </left>
        <right style="thin">
          <color auto="1"/>
        </right>
        <top style="thin">
          <color auto="1"/>
        </top>
        <bottom style="thin">
          <color auto="1"/>
        </bottom>
      </border>
    </dxf>
    <dxf>
      <font>
        <color auto="1"/>
      </font>
    </dxf>
    <dxf>
      <font>
        <strike val="0"/>
        <color auto="1"/>
      </font>
      <border>
        <left style="thin">
          <color auto="1"/>
        </left>
        <right style="thin">
          <color auto="1"/>
        </right>
        <top style="thin">
          <color auto="1"/>
        </top>
        <bottom style="thin">
          <color auto="1"/>
        </bottom>
      </border>
    </dxf>
    <dxf>
      <font>
        <strike val="0"/>
        <color auto="1"/>
      </font>
      <border>
        <left style="thin">
          <color auto="1"/>
        </left>
        <right style="thin">
          <color auto="1"/>
        </right>
        <top style="thin">
          <color auto="1"/>
        </top>
        <bottom style="thin">
          <color auto="1"/>
        </bottom>
        <vertical/>
        <horizontal/>
      </border>
    </dxf>
    <dxf>
      <font>
        <strike val="0"/>
        <color auto="1"/>
      </font>
      <border>
        <left style="thin">
          <color auto="1"/>
        </left>
        <right style="thin">
          <color auto="1"/>
        </right>
        <top style="thin">
          <color auto="1"/>
        </top>
        <bottom style="thin">
          <color auto="1"/>
        </bottom>
        <vertical/>
        <horizontal/>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dxf>
    <dxf>
      <fill>
        <patternFill>
          <bgColor rgb="FFCCFFCC"/>
        </patternFill>
      </fill>
    </dxf>
    <dxf>
      <fill>
        <patternFill>
          <bgColor rgb="FFCCFFCC"/>
        </patternFill>
      </fill>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ont>
        <color auto="1"/>
      </font>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bgColor rgb="FFFFC000"/>
        </patternFill>
      </fill>
    </dxf>
  </dxfs>
  <tableStyles count="0" defaultTableStyle="TableStyleMedium2" defaultPivotStyle="PivotStyleLight16"/>
  <colors>
    <mruColors>
      <color rgb="FFFFFF99"/>
      <color rgb="FFCCFFCC"/>
      <color rgb="FFFFC000"/>
      <color rgb="FFE2FCCE"/>
      <color rgb="FFE2EFDA"/>
      <color rgb="FFFFF2CC"/>
      <color rgb="FFE0D9F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B$9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13"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D$23"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C$34"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45"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fmlaLink="$C$54"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B$13"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fmlaLink="$C$69"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C$97"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D$97"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fmlaLink="$B$18"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D$18"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B$23"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16668</xdr:colOff>
          <xdr:row>97</xdr:row>
          <xdr:rowOff>45244</xdr:rowOff>
        </xdr:from>
        <xdr:to>
          <xdr:col>2</xdr:col>
          <xdr:colOff>1054893</xdr:colOff>
          <xdr:row>97</xdr:row>
          <xdr:rowOff>245269</xdr:rowOff>
        </xdr:to>
        <xdr:grpSp>
          <xdr:nvGrpSpPr>
            <xdr:cNvPr id="2" name="Groep 1">
              <a:extLst>
                <a:ext uri="{FF2B5EF4-FFF2-40B4-BE49-F238E27FC236}">
                  <a16:creationId xmlns:a16="http://schemas.microsoft.com/office/drawing/2014/main" id="{00000000-0008-0000-0000-000002000000}"/>
                </a:ext>
              </a:extLst>
            </xdr:cNvPr>
            <xdr:cNvGrpSpPr/>
          </xdr:nvGrpSpPr>
          <xdr:grpSpPr>
            <a:xfrm>
              <a:off x="2244053" y="23637936"/>
              <a:ext cx="1038225" cy="200025"/>
              <a:chOff x="2251710" y="21623655"/>
              <a:chExt cx="1038225" cy="200025"/>
            </a:xfrm>
          </xdr:grpSpPr>
          <xdr:sp macro="" textlink="">
            <xdr:nvSpPr>
              <xdr:cNvPr id="1125" name="Group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2251710" y="21623655"/>
                <a:ext cx="1038225" cy="200025"/>
              </a:xfrm>
              <a:prstGeom prst="rect">
                <a:avLst/>
              </a:prstGeom>
              <a:noFill/>
              <a:ln w="9525">
                <a:miter lim="800000"/>
                <a:headEnd/>
                <a:tailEnd/>
              </a:ln>
              <a:extLst>
                <a:ext uri="{909E8E84-426E-40DD-AFC4-6F175D3DCCD1}">
                  <a14:hiddenFill>
                    <a:noFill/>
                  </a14:hiddenFill>
                </a:ext>
              </a:extLst>
            </xdr:spPr>
          </xdr:sp>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2308860" y="21642705"/>
                <a:ext cx="361950" cy="142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2813685" y="21642705"/>
                <a:ext cx="428625" cy="1428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16668</xdr:colOff>
          <xdr:row>97</xdr:row>
          <xdr:rowOff>48623</xdr:rowOff>
        </xdr:from>
        <xdr:to>
          <xdr:col>1</xdr:col>
          <xdr:colOff>1054893</xdr:colOff>
          <xdr:row>97</xdr:row>
          <xdr:rowOff>245269</xdr:rowOff>
        </xdr:to>
        <xdr:grpSp>
          <xdr:nvGrpSpPr>
            <xdr:cNvPr id="3" name="Groep 2">
              <a:extLst>
                <a:ext uri="{FF2B5EF4-FFF2-40B4-BE49-F238E27FC236}">
                  <a16:creationId xmlns:a16="http://schemas.microsoft.com/office/drawing/2014/main" id="{00000000-0008-0000-0000-000003000000}"/>
                </a:ext>
              </a:extLst>
            </xdr:cNvPr>
            <xdr:cNvGrpSpPr/>
          </xdr:nvGrpSpPr>
          <xdr:grpSpPr>
            <a:xfrm>
              <a:off x="1166995" y="23641315"/>
              <a:ext cx="1038225" cy="196646"/>
              <a:chOff x="1170156" y="22173676"/>
              <a:chExt cx="1038225" cy="193337"/>
            </a:xfrm>
          </xdr:grpSpPr>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1236831" y="22200748"/>
                <a:ext cx="371475" cy="1432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1741656" y="22200748"/>
                <a:ext cx="428625" cy="1432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sp macro="" textlink="">
            <xdr:nvSpPr>
              <xdr:cNvPr id="1124" name="Group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1170156" y="22173676"/>
                <a:ext cx="1038225" cy="193337"/>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13</xdr:row>
          <xdr:rowOff>76200</xdr:rowOff>
        </xdr:from>
        <xdr:to>
          <xdr:col>1</xdr:col>
          <xdr:colOff>962025</xdr:colOff>
          <xdr:row>14</xdr:row>
          <xdr:rowOff>0</xdr:rowOff>
        </xdr:to>
        <xdr:sp macro="" textlink="">
          <xdr:nvSpPr>
            <xdr:cNvPr id="1029" name="Keuzerondje 2"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€ 0   t/m      € 500.000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14</xdr:row>
          <xdr:rowOff>28575</xdr:rowOff>
        </xdr:from>
        <xdr:to>
          <xdr:col>1</xdr:col>
          <xdr:colOff>962025</xdr:colOff>
          <xdr:row>14</xdr:row>
          <xdr:rowOff>228600</xdr:rowOff>
        </xdr:to>
        <xdr:sp macro="" textlink="">
          <xdr:nvSpPr>
            <xdr:cNvPr id="1030" name="Keuzerondje 3"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€ 500.001 t/m   € 5.000.000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15</xdr:row>
          <xdr:rowOff>0</xdr:rowOff>
        </xdr:from>
        <xdr:to>
          <xdr:col>1</xdr:col>
          <xdr:colOff>962025</xdr:colOff>
          <xdr:row>15</xdr:row>
          <xdr:rowOff>200025</xdr:rowOff>
        </xdr:to>
        <xdr:sp macro="" textlink="">
          <xdr:nvSpPr>
            <xdr:cNvPr id="1031" name="Keuzerondje 1" descr="           € 0 t/m € 500.000"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€ 5.000.001 t/m € 50.000.000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15</xdr:row>
          <xdr:rowOff>238125</xdr:rowOff>
        </xdr:from>
        <xdr:to>
          <xdr:col>1</xdr:col>
          <xdr:colOff>962025</xdr:colOff>
          <xdr:row>16</xdr:row>
          <xdr:rowOff>171450</xdr:rowOff>
        </xdr:to>
        <xdr:sp macro="" textlink="">
          <xdr:nvSpPr>
            <xdr:cNvPr id="1032" name="Keuzerondje 1" descr="           € 0 t/m € 500.000"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meer dan € 50.000.000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895350</xdr:colOff>
          <xdr:row>23</xdr:row>
          <xdr:rowOff>57150</xdr:rowOff>
        </xdr:from>
        <xdr:to>
          <xdr:col>1</xdr:col>
          <xdr:colOff>962025</xdr:colOff>
          <xdr:row>23</xdr:row>
          <xdr:rowOff>247650</xdr:rowOff>
        </xdr:to>
        <xdr:sp macro="" textlink="">
          <xdr:nvSpPr>
            <xdr:cNvPr id="1037" name="Keuzerondje 2"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1  t/m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24</xdr:row>
          <xdr:rowOff>28575</xdr:rowOff>
        </xdr:from>
        <xdr:to>
          <xdr:col>1</xdr:col>
          <xdr:colOff>962025</xdr:colOff>
          <xdr:row>24</xdr:row>
          <xdr:rowOff>228600</xdr:rowOff>
        </xdr:to>
        <xdr:sp macro="" textlink="">
          <xdr:nvSpPr>
            <xdr:cNvPr id="1038" name="Keuzerondje 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51 t/m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895350</xdr:colOff>
          <xdr:row>25</xdr:row>
          <xdr:rowOff>0</xdr:rowOff>
        </xdr:from>
        <xdr:to>
          <xdr:col>1</xdr:col>
          <xdr:colOff>962025</xdr:colOff>
          <xdr:row>25</xdr:row>
          <xdr:rowOff>200025</xdr:rowOff>
        </xdr:to>
        <xdr:sp macro="" textlink="">
          <xdr:nvSpPr>
            <xdr:cNvPr id="1039" name="Keuzerondje 1" descr="           € 0 t/m € 500.000"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151 t/m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25</xdr:row>
          <xdr:rowOff>238125</xdr:rowOff>
        </xdr:from>
        <xdr:to>
          <xdr:col>1</xdr:col>
          <xdr:colOff>962025</xdr:colOff>
          <xdr:row>26</xdr:row>
          <xdr:rowOff>171450</xdr:rowOff>
        </xdr:to>
        <xdr:sp macro="" textlink="">
          <xdr:nvSpPr>
            <xdr:cNvPr id="1040" name="Option Button 16" descr="           € 0 t/m € 500.000"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meer dan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38100</xdr:rowOff>
        </xdr:from>
        <xdr:to>
          <xdr:col>1</xdr:col>
          <xdr:colOff>990600</xdr:colOff>
          <xdr:row>16</xdr:row>
          <xdr:rowOff>209550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38100</xdr:rowOff>
        </xdr:from>
        <xdr:to>
          <xdr:col>1</xdr:col>
          <xdr:colOff>990600</xdr:colOff>
          <xdr:row>26</xdr:row>
          <xdr:rowOff>209550</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13</xdr:row>
          <xdr:rowOff>76200</xdr:rowOff>
        </xdr:from>
        <xdr:to>
          <xdr:col>6</xdr:col>
          <xdr:colOff>276225</xdr:colOff>
          <xdr:row>14</xdr:row>
          <xdr:rowOff>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minimaal (net boven de ondergrens)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14</xdr:row>
          <xdr:rowOff>38100</xdr:rowOff>
        </xdr:from>
        <xdr:to>
          <xdr:col>6</xdr:col>
          <xdr:colOff>276225</xdr:colOff>
          <xdr:row>14</xdr:row>
          <xdr:rowOff>228600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(rondom het bandbreedtegemiddelde)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15</xdr:row>
          <xdr:rowOff>9525</xdr:rowOff>
        </xdr:from>
        <xdr:to>
          <xdr:col>6</xdr:col>
          <xdr:colOff>276225</xdr:colOff>
          <xdr:row>15</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maximaal (net onder de bovengrens)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6</xdr:col>
          <xdr:colOff>304800</xdr:colOff>
          <xdr:row>15</xdr:row>
          <xdr:rowOff>238125</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23</xdr:row>
          <xdr:rowOff>66675</xdr:rowOff>
        </xdr:from>
        <xdr:to>
          <xdr:col>6</xdr:col>
          <xdr:colOff>285750</xdr:colOff>
          <xdr:row>23</xdr:row>
          <xdr:rowOff>257175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minimaal (net boven de ondergrens)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24</xdr:row>
          <xdr:rowOff>19050</xdr:rowOff>
        </xdr:from>
        <xdr:to>
          <xdr:col>6</xdr:col>
          <xdr:colOff>285750</xdr:colOff>
          <xdr:row>24</xdr:row>
          <xdr:rowOff>228600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(rondom het bandbreedtegemiddelde)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24</xdr:row>
          <xdr:rowOff>257175</xdr:rowOff>
        </xdr:from>
        <xdr:to>
          <xdr:col>6</xdr:col>
          <xdr:colOff>285750</xdr:colOff>
          <xdr:row>25</xdr:row>
          <xdr:rowOff>180975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maximaal (net onder de bovengrens)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28575</xdr:rowOff>
        </xdr:from>
        <xdr:to>
          <xdr:col>6</xdr:col>
          <xdr:colOff>314325</xdr:colOff>
          <xdr:row>25</xdr:row>
          <xdr:rowOff>228600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34</xdr:row>
          <xdr:rowOff>66675</xdr:rowOff>
        </xdr:from>
        <xdr:to>
          <xdr:col>6</xdr:col>
          <xdr:colOff>266700</xdr:colOff>
          <xdr:row>35</xdr:row>
          <xdr:rowOff>9525</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Financier: eigen fondsenwerving, beoordeling/financiering van projecten, voorlichting eigen activiteiten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28575</xdr:rowOff>
        </xdr:from>
        <xdr:to>
          <xdr:col>6</xdr:col>
          <xdr:colOff>295275</xdr:colOff>
          <xdr:row>38</xdr:row>
          <xdr:rowOff>238125</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35</xdr:row>
          <xdr:rowOff>47625</xdr:rowOff>
        </xdr:from>
        <xdr:to>
          <xdr:col>6</xdr:col>
          <xdr:colOff>276225</xdr:colOff>
          <xdr:row>35</xdr:row>
          <xdr:rowOff>257175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tussen Financier en volwaardige Coördinator 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36</xdr:row>
          <xdr:rowOff>38100</xdr:rowOff>
        </xdr:from>
        <xdr:to>
          <xdr:col>6</xdr:col>
          <xdr:colOff>266700</xdr:colOff>
          <xdr:row>36</xdr:row>
          <xdr:rowOff>247650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Coördinator: Financier plus Coördinatie/spilfunctie en/of actieve (inter)nationale rol in het werkveld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37</xdr:row>
          <xdr:rowOff>19050</xdr:rowOff>
        </xdr:from>
        <xdr:to>
          <xdr:col>6</xdr:col>
          <xdr:colOff>276225</xdr:colOff>
          <xdr:row>37</xdr:row>
          <xdr:rowOff>219075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tussen Coördinator en Volledig uitvoerend 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38</xdr:row>
          <xdr:rowOff>0</xdr:rowOff>
        </xdr:from>
        <xdr:to>
          <xdr:col>6</xdr:col>
          <xdr:colOff>266700</xdr:colOff>
          <xdr:row>38</xdr:row>
          <xdr:rowOff>209550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Volledig uitvoerend: Coördinator plus Koersbepalend én eigen functies voor uitvoering e/o koersbepaling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45</xdr:row>
          <xdr:rowOff>66675</xdr:rowOff>
        </xdr:from>
        <xdr:to>
          <xdr:col>6</xdr:col>
          <xdr:colOff>228600</xdr:colOff>
          <xdr:row>46</xdr:row>
          <xdr:rowOff>9525</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Ingekaderd (onderdeel van koepelorganisatie; strategie en werkwijzen vastomlijnd)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45</xdr:row>
          <xdr:rowOff>28575</xdr:rowOff>
        </xdr:from>
        <xdr:to>
          <xdr:col>6</xdr:col>
          <xdr:colOff>276225</xdr:colOff>
          <xdr:row>49</xdr:row>
          <xdr:rowOff>228600</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46</xdr:row>
          <xdr:rowOff>57150</xdr:rowOff>
        </xdr:from>
        <xdr:to>
          <xdr:col>6</xdr:col>
          <xdr:colOff>238125</xdr:colOff>
          <xdr:row>47</xdr:row>
          <xdr:rowOff>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tussen (volledig) Ingekaderd en 'Ingekaderd met lokale vrijheid' 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47</xdr:row>
          <xdr:rowOff>47625</xdr:rowOff>
        </xdr:from>
        <xdr:to>
          <xdr:col>6</xdr:col>
          <xdr:colOff>247650</xdr:colOff>
          <xdr:row>47</xdr:row>
          <xdr:rowOff>257175</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Ingekaderd met lokale vrijheid en/of actieve rol bij beleidsontwikkeling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48</xdr:row>
          <xdr:rowOff>38100</xdr:rowOff>
        </xdr:from>
        <xdr:to>
          <xdr:col>6</xdr:col>
          <xdr:colOff>238125</xdr:colOff>
          <xdr:row>48</xdr:row>
          <xdr:rowOff>238125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tussen 'Ingekaderd met lokale vrijheid' en 'Zelfstandig opererend' 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49</xdr:row>
          <xdr:rowOff>0</xdr:rowOff>
        </xdr:from>
        <xdr:to>
          <xdr:col>6</xdr:col>
          <xdr:colOff>238125</xdr:colOff>
          <xdr:row>49</xdr:row>
          <xdr:rowOff>209550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Zelfstandig opererend met eigen strategie en werkwijzen (evt binnen groter verband)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54</xdr:row>
          <xdr:rowOff>76200</xdr:rowOff>
        </xdr:from>
        <xdr:to>
          <xdr:col>6</xdr:col>
          <xdr:colOff>238125</xdr:colOff>
          <xdr:row>55</xdr:row>
          <xdr:rowOff>19050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Uitvoerend (directie voert beleid en besluiten uit die door bevoegd gezag zijn genomen)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54</xdr:row>
          <xdr:rowOff>47625</xdr:rowOff>
        </xdr:from>
        <xdr:to>
          <xdr:col>6</xdr:col>
          <xdr:colOff>276225</xdr:colOff>
          <xdr:row>58</xdr:row>
          <xdr:rowOff>238125</xdr:rowOff>
        </xdr:to>
        <xdr:sp macro="" textlink="">
          <xdr:nvSpPr>
            <xdr:cNvPr id="1102" name="Group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55</xdr:row>
          <xdr:rowOff>57150</xdr:rowOff>
        </xdr:from>
        <xdr:to>
          <xdr:col>6</xdr:col>
          <xdr:colOff>238125</xdr:colOff>
          <xdr:row>56</xdr:row>
          <xdr:rowOff>0</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tussen 'uitvoerend' en '(mede) beleid initiërend' 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56</xdr:row>
          <xdr:rowOff>28575</xdr:rowOff>
        </xdr:from>
        <xdr:to>
          <xdr:col>6</xdr:col>
          <xdr:colOff>247650</xdr:colOff>
          <xdr:row>56</xdr:row>
          <xdr:rowOff>238125</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Beleid initiërend (directie doet beleidsvoorstellen aan bevoegd gezag)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57</xdr:row>
          <xdr:rowOff>9525</xdr:rowOff>
        </xdr:from>
        <xdr:to>
          <xdr:col>6</xdr:col>
          <xdr:colOff>238125</xdr:colOff>
          <xdr:row>57</xdr:row>
          <xdr:rowOff>209550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tussen 'beleid initiërend' en 'beleid bepalend' 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57</xdr:row>
          <xdr:rowOff>257175</xdr:rowOff>
        </xdr:from>
        <xdr:to>
          <xdr:col>6</xdr:col>
          <xdr:colOff>238125</xdr:colOff>
          <xdr:row>58</xdr:row>
          <xdr:rowOff>200025</xdr:rowOff>
        </xdr:to>
        <xdr:sp macro="" textlink="">
          <xdr:nvSpPr>
            <xdr:cNvPr id="1106" name="Option Button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Beleid bepalend (directie bepaalt beleid; bevoegd gezag is toezichthoudend)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69</xdr:row>
          <xdr:rowOff>47625</xdr:rowOff>
        </xdr:from>
        <xdr:to>
          <xdr:col>4</xdr:col>
          <xdr:colOff>523875</xdr:colOff>
          <xdr:row>74</xdr:row>
          <xdr:rowOff>228600</xdr:rowOff>
        </xdr:to>
        <xdr:sp macro="" textlink="">
          <xdr:nvSpPr>
            <xdr:cNvPr id="1108" name="Group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69</xdr:row>
          <xdr:rowOff>85725</xdr:rowOff>
        </xdr:from>
        <xdr:to>
          <xdr:col>4</xdr:col>
          <xdr:colOff>457200</xdr:colOff>
          <xdr:row>70</xdr:row>
          <xdr:rowOff>28575</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Eénhoofdige directie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895350</xdr:colOff>
          <xdr:row>70</xdr:row>
          <xdr:rowOff>66675</xdr:rowOff>
        </xdr:from>
        <xdr:to>
          <xdr:col>4</xdr:col>
          <xdr:colOff>457200</xdr:colOff>
          <xdr:row>71</xdr:row>
          <xdr:rowOff>9525</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Tweehoofdige collegiale directie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895350</xdr:colOff>
          <xdr:row>71</xdr:row>
          <xdr:rowOff>47625</xdr:rowOff>
        </xdr:from>
        <xdr:to>
          <xdr:col>4</xdr:col>
          <xdr:colOff>447675</xdr:colOff>
          <xdr:row>71</xdr:row>
          <xdr:rowOff>257175</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Tweehoofdige directie waarvan één voorzitter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72</xdr:row>
          <xdr:rowOff>28575</xdr:rowOff>
        </xdr:from>
        <xdr:to>
          <xdr:col>4</xdr:col>
          <xdr:colOff>447675</xdr:colOff>
          <xdr:row>72</xdr:row>
          <xdr:rowOff>228600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Driehoofdige collegiale directie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895350</xdr:colOff>
          <xdr:row>73</xdr:row>
          <xdr:rowOff>9525</xdr:rowOff>
        </xdr:from>
        <xdr:to>
          <xdr:col>4</xdr:col>
          <xdr:colOff>457200</xdr:colOff>
          <xdr:row>73</xdr:row>
          <xdr:rowOff>209550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Meerhoofdige directie met voorzitter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895350</xdr:colOff>
          <xdr:row>73</xdr:row>
          <xdr:rowOff>257175</xdr:rowOff>
        </xdr:from>
        <xdr:to>
          <xdr:col>4</xdr:col>
          <xdr:colOff>457200</xdr:colOff>
          <xdr:row>74</xdr:row>
          <xdr:rowOff>190500</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Eindverantwoordelijke directievoorzitter met meerdere leden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7143</xdr:colOff>
          <xdr:row>97</xdr:row>
          <xdr:rowOff>41799</xdr:rowOff>
        </xdr:from>
        <xdr:to>
          <xdr:col>4</xdr:col>
          <xdr:colOff>588168</xdr:colOff>
          <xdr:row>97</xdr:row>
          <xdr:rowOff>242230</xdr:rowOff>
        </xdr:to>
        <xdr:grpSp>
          <xdr:nvGrpSpPr>
            <xdr:cNvPr id="4" name="Groep 3">
              <a:extLst>
                <a:ext uri="{FF2B5EF4-FFF2-40B4-BE49-F238E27FC236}">
                  <a16:creationId xmlns:a16="http://schemas.microsoft.com/office/drawing/2014/main" id="{00000000-0008-0000-0000-000004000000}"/>
                </a:ext>
              </a:extLst>
            </xdr:cNvPr>
            <xdr:cNvGrpSpPr/>
          </xdr:nvGrpSpPr>
          <xdr:grpSpPr>
            <a:xfrm>
              <a:off x="3311585" y="23634491"/>
              <a:ext cx="1013314" cy="200431"/>
              <a:chOff x="3316954" y="22172173"/>
              <a:chExt cx="1010664" cy="200431"/>
            </a:xfrm>
          </xdr:grpSpPr>
          <xdr:sp macro="" textlink="">
            <xdr:nvSpPr>
              <xdr:cNvPr id="1126" name="Group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3316954" y="22172173"/>
                <a:ext cx="1010664" cy="200431"/>
              </a:xfrm>
              <a:prstGeom prst="rect">
                <a:avLst/>
              </a:prstGeom>
              <a:noFill/>
              <a:ln w="9525">
                <a:miter lim="800000"/>
                <a:headEnd/>
                <a:tailEnd/>
              </a:ln>
              <a:extLst>
                <a:ext uri="{909E8E84-426E-40DD-AFC4-6F175D3DCCD1}">
                  <a14:hiddenFill>
                    <a:noFill/>
                  </a14:hiddenFill>
                </a:ext>
              </a:extLst>
            </xdr:spPr>
          </xdr:sp>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3374079" y="22191223"/>
                <a:ext cx="362964" cy="1528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3870393" y="22191223"/>
                <a:ext cx="428625" cy="1528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18</xdr:row>
          <xdr:rowOff>57150</xdr:rowOff>
        </xdr:from>
        <xdr:to>
          <xdr:col>1</xdr:col>
          <xdr:colOff>962025</xdr:colOff>
          <xdr:row>19</xdr:row>
          <xdr:rowOff>9525</xdr:rowOff>
        </xdr:to>
        <xdr:sp macro="" textlink="">
          <xdr:nvSpPr>
            <xdr:cNvPr id="1133" name="Keuzerondje 2"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minder dan €  50.000.000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19</xdr:row>
          <xdr:rowOff>28575</xdr:rowOff>
        </xdr:from>
        <xdr:to>
          <xdr:col>1</xdr:col>
          <xdr:colOff>962025</xdr:colOff>
          <xdr:row>19</xdr:row>
          <xdr:rowOff>247650</xdr:rowOff>
        </xdr:to>
        <xdr:sp macro="" textlink="">
          <xdr:nvSpPr>
            <xdr:cNvPr id="1134" name="Keuzerondje 3"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50.000.000 t/m € 100.000.000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20</xdr:row>
          <xdr:rowOff>9525</xdr:rowOff>
        </xdr:from>
        <xdr:to>
          <xdr:col>1</xdr:col>
          <xdr:colOff>962025</xdr:colOff>
          <xdr:row>20</xdr:row>
          <xdr:rowOff>228600</xdr:rowOff>
        </xdr:to>
        <xdr:sp macro="" textlink="">
          <xdr:nvSpPr>
            <xdr:cNvPr id="1135" name="Keuzerondje 1" descr="€  100.000.000 t/m € 150.000.000"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€ 100.000.001 t/m € 150.000.000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18</xdr:row>
          <xdr:rowOff>38100</xdr:rowOff>
        </xdr:from>
        <xdr:to>
          <xdr:col>1</xdr:col>
          <xdr:colOff>990600</xdr:colOff>
          <xdr:row>21</xdr:row>
          <xdr:rowOff>238125</xdr:rowOff>
        </xdr:to>
        <xdr:sp macro="" textlink="">
          <xdr:nvSpPr>
            <xdr:cNvPr id="1137" name="Group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18</xdr:row>
          <xdr:rowOff>76200</xdr:rowOff>
        </xdr:from>
        <xdr:to>
          <xdr:col>6</xdr:col>
          <xdr:colOff>276225</xdr:colOff>
          <xdr:row>19</xdr:row>
          <xdr:rowOff>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minimaal (net boven de ondergrens)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19</xdr:row>
          <xdr:rowOff>38100</xdr:rowOff>
        </xdr:from>
        <xdr:to>
          <xdr:col>6</xdr:col>
          <xdr:colOff>276225</xdr:colOff>
          <xdr:row>19</xdr:row>
          <xdr:rowOff>228600</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(rondom het bandbreedtegemiddelde)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20</xdr:row>
          <xdr:rowOff>9525</xdr:rowOff>
        </xdr:from>
        <xdr:to>
          <xdr:col>6</xdr:col>
          <xdr:colOff>276225</xdr:colOff>
          <xdr:row>20</xdr:row>
          <xdr:rowOff>219075</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maximaal (net onder de bovengrens)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6</xdr:col>
          <xdr:colOff>304800</xdr:colOff>
          <xdr:row>20</xdr:row>
          <xdr:rowOff>238125</xdr:rowOff>
        </xdr:to>
        <xdr:sp macro="" textlink="">
          <xdr:nvSpPr>
            <xdr:cNvPr id="1141" name="Group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20</xdr:row>
          <xdr:rowOff>257175</xdr:rowOff>
        </xdr:from>
        <xdr:to>
          <xdr:col>1</xdr:col>
          <xdr:colOff>962025</xdr:colOff>
          <xdr:row>21</xdr:row>
          <xdr:rowOff>209550</xdr:rowOff>
        </xdr:to>
        <xdr:sp macro="" textlink="">
          <xdr:nvSpPr>
            <xdr:cNvPr id="1145" name="Option Button 121" descr="€  100.000.000 t/m € 150.000.000"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solidFill>
              <a:srgbClr val="CC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meer dan € 150.000.000</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I103"/>
  <sheetViews>
    <sheetView showGridLines="0" showRowColHeaders="0" tabSelected="1" showRuler="0" view="pageLayout" zoomScale="130" zoomScaleNormal="100" zoomScalePageLayoutView="130" workbookViewId="0">
      <selection activeCell="B4" sqref="B4:C4"/>
    </sheetView>
  </sheetViews>
  <sheetFormatPr defaultColWidth="9.140625" defaultRowHeight="12.75" x14ac:dyDescent="0.2"/>
  <cols>
    <col min="1" max="1" width="18" customWidth="1"/>
    <col min="2" max="3" width="16.85546875" customWidth="1"/>
    <col min="4" max="4" width="6.7109375" customWidth="1"/>
    <col min="5" max="5" width="9.7109375" customWidth="1"/>
    <col min="6" max="6" width="10.85546875" customWidth="1"/>
    <col min="7" max="7" width="6" customWidth="1"/>
    <col min="8" max="8" width="12.85546875" customWidth="1"/>
  </cols>
  <sheetData>
    <row r="1" spans="1:8" ht="13.5" customHeight="1" x14ac:dyDescent="0.2">
      <c r="A1" s="89" t="str">
        <f>IF('BSD tabellen'!P19="","Richtlijn referentie",'BSD tabellen'!P19)</f>
        <v>Richtlijn Directiebeloning november 2020</v>
      </c>
      <c r="B1" s="89"/>
      <c r="C1" s="89"/>
      <c r="D1" s="89"/>
      <c r="E1" s="89"/>
      <c r="F1" s="89"/>
      <c r="G1" s="89"/>
      <c r="H1" s="89"/>
    </row>
    <row r="2" spans="1:8" ht="23.25" customHeight="1" x14ac:dyDescent="0.2">
      <c r="A2" s="90" t="str">
        <f>IF('BSD tabellen'!P20="","precisering",'BSD tabellen'!P20)</f>
        <v>inclusief aanhangsels 1 t/m 5</v>
      </c>
      <c r="B2" s="90"/>
      <c r="C2" s="90"/>
      <c r="D2" s="90"/>
      <c r="E2" s="90"/>
      <c r="F2" s="90"/>
      <c r="G2" s="90"/>
      <c r="H2" s="90"/>
    </row>
    <row r="3" spans="1:8" ht="50.25" customHeight="1" x14ac:dyDescent="0.2">
      <c r="A3" s="92" t="s">
        <v>94</v>
      </c>
      <c r="B3" s="93"/>
      <c r="C3" s="93"/>
      <c r="E3" s="80" t="s">
        <v>6</v>
      </c>
      <c r="F3" s="88"/>
      <c r="G3" s="88"/>
      <c r="H3" s="88"/>
    </row>
    <row r="4" spans="1:8" ht="27.75" customHeight="1" x14ac:dyDescent="0.2">
      <c r="A4" s="6" t="s">
        <v>0</v>
      </c>
      <c r="B4" s="78"/>
      <c r="C4" s="78"/>
      <c r="E4" s="88"/>
      <c r="F4" s="88"/>
      <c r="G4" s="88"/>
      <c r="H4" s="88"/>
    </row>
    <row r="5" spans="1:8" ht="27.75" customHeight="1" x14ac:dyDescent="0.2">
      <c r="A5" s="6" t="s">
        <v>1</v>
      </c>
      <c r="B5" s="81"/>
      <c r="C5" s="81"/>
      <c r="E5" s="88"/>
      <c r="F5" s="88"/>
      <c r="G5" s="88"/>
      <c r="H5" s="88"/>
    </row>
    <row r="6" spans="1:8" ht="27.75" customHeight="1" x14ac:dyDescent="0.2">
      <c r="A6" s="6" t="s">
        <v>2</v>
      </c>
      <c r="B6" s="81"/>
      <c r="C6" s="81"/>
      <c r="E6" s="88"/>
      <c r="F6" s="88"/>
      <c r="G6" s="88"/>
      <c r="H6" s="88"/>
    </row>
    <row r="7" spans="1:8" ht="18" customHeight="1" x14ac:dyDescent="0.2">
      <c r="A7" s="6" t="s">
        <v>72</v>
      </c>
      <c r="B7" s="91"/>
      <c r="C7" s="81"/>
      <c r="E7" s="88"/>
      <c r="F7" s="88"/>
      <c r="G7" s="88"/>
      <c r="H7" s="88"/>
    </row>
    <row r="8" spans="1:8" ht="21.75" customHeight="1" x14ac:dyDescent="0.2">
      <c r="A8" s="7"/>
      <c r="B8" t="s">
        <v>3</v>
      </c>
      <c r="C8" t="s">
        <v>4</v>
      </c>
      <c r="E8" s="88"/>
      <c r="F8" s="88"/>
      <c r="G8" s="88"/>
      <c r="H8" s="88"/>
    </row>
    <row r="9" spans="1:8" ht="17.25" customHeight="1" x14ac:dyDescent="0.2">
      <c r="A9" s="6" t="s">
        <v>5</v>
      </c>
      <c r="B9" s="56"/>
      <c r="C9" s="55"/>
      <c r="E9" s="88"/>
      <c r="F9" s="88"/>
      <c r="G9" s="88"/>
      <c r="H9" s="88"/>
    </row>
    <row r="10" spans="1:8" ht="31.5" customHeight="1" x14ac:dyDescent="0.2">
      <c r="B10" s="2" t="s">
        <v>104</v>
      </c>
      <c r="C10" s="2" t="s">
        <v>105</v>
      </c>
      <c r="E10" s="88"/>
      <c r="F10" s="88"/>
      <c r="G10" s="88"/>
      <c r="H10" s="88"/>
    </row>
    <row r="11" spans="1:8" ht="5.25" customHeight="1" x14ac:dyDescent="0.2">
      <c r="E11" s="5"/>
    </row>
    <row r="12" spans="1:8" ht="6.75" customHeight="1" x14ac:dyDescent="0.2"/>
    <row r="13" spans="1:8" x14ac:dyDescent="0.2">
      <c r="A13" s="7" t="s">
        <v>7</v>
      </c>
      <c r="B13" s="31"/>
      <c r="D13" s="31"/>
    </row>
    <row r="14" spans="1:8" ht="21.2" customHeight="1" x14ac:dyDescent="0.2">
      <c r="A14" s="94" t="s">
        <v>69</v>
      </c>
      <c r="C14" s="94" t="s">
        <v>8</v>
      </c>
      <c r="H14" s="72" t="s">
        <v>100</v>
      </c>
    </row>
    <row r="15" spans="1:8" ht="21.2" customHeight="1" x14ac:dyDescent="0.2">
      <c r="A15" s="94"/>
      <c r="C15" s="94"/>
      <c r="D15" s="3"/>
      <c r="H15" s="1" t="s">
        <v>9</v>
      </c>
    </row>
    <row r="16" spans="1:8" ht="21.2" customHeight="1" x14ac:dyDescent="0.35">
      <c r="A16" s="94"/>
      <c r="C16" s="94"/>
      <c r="H16" s="27" t="str">
        <f>IF(AND(B13&gt;=1,B13&lt;=4,D13&gt;=1,D13&lt;=3),INDEX('BSD tabellen'!C3:E6,B13,D13),"")</f>
        <v/>
      </c>
    </row>
    <row r="17" spans="1:8" ht="21.2" customHeight="1" x14ac:dyDescent="0.2">
      <c r="A17" s="94"/>
      <c r="C17" s="85" t="str">
        <f>IF(AND(B13&gt;0,B13&lt;5),"maak hierboven uw eigen inschatting: minimaal, -/+, maximaal","")</f>
        <v/>
      </c>
      <c r="D17" s="85"/>
      <c r="E17" s="85"/>
      <c r="F17" s="85"/>
      <c r="G17" s="85"/>
    </row>
    <row r="18" spans="1:8" ht="5.25" customHeight="1" x14ac:dyDescent="0.2">
      <c r="A18" s="7"/>
      <c r="B18" s="31"/>
      <c r="D18" s="31"/>
    </row>
    <row r="19" spans="1:8" ht="21.2" customHeight="1" x14ac:dyDescent="0.2">
      <c r="A19" s="94" t="s">
        <v>98</v>
      </c>
      <c r="C19" s="94" t="s">
        <v>8</v>
      </c>
      <c r="H19" s="72" t="s">
        <v>113</v>
      </c>
    </row>
    <row r="20" spans="1:8" ht="21.2" customHeight="1" x14ac:dyDescent="0.2">
      <c r="A20" s="94"/>
      <c r="C20" s="94"/>
      <c r="D20" s="65"/>
      <c r="H20" s="1" t="s">
        <v>9</v>
      </c>
    </row>
    <row r="21" spans="1:8" ht="21.2" customHeight="1" x14ac:dyDescent="0.35">
      <c r="A21" s="94"/>
      <c r="C21" s="94"/>
      <c r="H21" s="27" t="str">
        <f>IF(AND(B18&gt;=1,B18&lt;=4,D18&gt;=1,D18&lt;=3),INDEX('BSD tabellen'!G3:I6,B18,D18),"")</f>
        <v/>
      </c>
    </row>
    <row r="22" spans="1:8" ht="21.2" customHeight="1" x14ac:dyDescent="0.2">
      <c r="A22" s="94"/>
      <c r="C22" s="85" t="str">
        <f>IF(AND(B18&gt;0,B18&lt;5),"maak hierboven uw eigen inschatting: minimaal, -/+, maximaal","")</f>
        <v/>
      </c>
      <c r="D22" s="85"/>
      <c r="E22" s="85"/>
      <c r="F22" s="85"/>
      <c r="G22" s="85"/>
    </row>
    <row r="23" spans="1:8" ht="5.25" customHeight="1" x14ac:dyDescent="0.2">
      <c r="A23" s="7"/>
      <c r="B23" s="31"/>
      <c r="D23" s="31"/>
    </row>
    <row r="24" spans="1:8" ht="21" customHeight="1" x14ac:dyDescent="0.2">
      <c r="A24" s="94" t="s">
        <v>80</v>
      </c>
      <c r="C24" s="94" t="s">
        <v>8</v>
      </c>
      <c r="H24" s="72" t="s">
        <v>114</v>
      </c>
    </row>
    <row r="25" spans="1:8" ht="21" customHeight="1" x14ac:dyDescent="0.2">
      <c r="A25" s="94"/>
      <c r="C25" s="94"/>
      <c r="D25" s="3"/>
      <c r="H25" s="1" t="s">
        <v>9</v>
      </c>
    </row>
    <row r="26" spans="1:8" ht="21" customHeight="1" x14ac:dyDescent="0.35">
      <c r="A26" s="94"/>
      <c r="C26" s="94"/>
      <c r="H26" s="27" t="str">
        <f>IF(AND(B23&gt;=1,B23&lt;=4,D23&gt;=1,D23&lt;=3),INDEX('BSD tabellen'!K3:M6,B23,D23),"")</f>
        <v/>
      </c>
    </row>
    <row r="27" spans="1:8" ht="21" customHeight="1" x14ac:dyDescent="0.2">
      <c r="A27" s="94"/>
      <c r="C27" s="86" t="str">
        <f>IF(AND(B23&gt;0,B23&lt;5),"maak hierboven uw eigen inschatting: minimaal, -/+, maximaal","")</f>
        <v/>
      </c>
      <c r="D27" s="86"/>
      <c r="E27" s="86"/>
      <c r="F27" s="86"/>
      <c r="G27" s="86"/>
    </row>
    <row r="28" spans="1:8" ht="9" customHeight="1" x14ac:dyDescent="0.2">
      <c r="C28" s="87" t="s">
        <v>90</v>
      </c>
      <c r="D28" s="87"/>
      <c r="E28" s="87"/>
      <c r="F28" s="87"/>
      <c r="G28" s="87"/>
      <c r="H28" s="87"/>
    </row>
    <row r="29" spans="1:8" ht="48.75" customHeight="1" x14ac:dyDescent="0.2">
      <c r="A29" s="80" t="str">
        <f>IF(AND(Omvang_Fin_sub&lt;&gt;1,Omvang_Fin_sub&lt;&gt;3,Omvang_Fin_Fds_sub&lt;&gt;1,Omvang_Fin_Fds_sub&lt;&gt;3,Omvang_FTE_sub&lt;&gt;1,Omvang_FTE_sub&lt;&gt;3),"",
"Geef hiernaast toelichting op uw afwijking naar"
         &amp;IF(OR(Omvang_Fin_sub=1,Omvang_Fin_sub=3),
                  IF(Omvang_Fin_sub=1," beneden","")&amp;
                  IF(Omvang_Fin_sub=3," boven","")
                 &amp;" bij Omvang Omzet","")
         &amp;IF(OR(Omvang_Fin_Fds_sub=1,Omvang_Fin_Fds_sub=3),
                  IF(OR(Omvang_Fin_sub=1,Omvang_Fin_sub=3)," en naar","")
                  &amp;IF(Omvang_Fin_Fds_sub=1," beneden","")&amp;
                  IF(Omvang_Fin_Fds_sub=3," boven","")
                 &amp;" bij Omvang Vermogen","")
          &amp;IF(OR(Omvang_FTE_sub=1,Omvang_FTE_sub=3),
                     IF(OR(Omvang_Fin_sub=1,Omvang_Fin_sub=3,Omvang_Fin_Fds_sub=1,Omvang_Fin_Fds_sub=3)," en naar","")
                    &amp;IF(Omvang_FTE_sub=1," beneden","")
                    &amp;IF(Omvang_FTE_sub=3," boven","")
                 &amp;" bij Omvang Personeel","")&amp;".")</f>
        <v/>
      </c>
      <c r="B29" s="80"/>
      <c r="C29" s="84"/>
      <c r="D29" s="84"/>
      <c r="E29" s="84"/>
      <c r="F29" s="84"/>
      <c r="G29" s="84"/>
      <c r="H29" s="84"/>
    </row>
    <row r="30" spans="1:8" ht="9" customHeight="1" x14ac:dyDescent="0.2"/>
    <row r="31" spans="1:8" ht="13.5" customHeight="1" x14ac:dyDescent="0.2">
      <c r="A31" s="89" t="str">
        <f>IF('BSD tabellen'!P19="","Richtlijn referentie",'BSD tabellen'!P19)</f>
        <v>Richtlijn Directiebeloning november 2020</v>
      </c>
      <c r="B31" s="89"/>
      <c r="C31" s="89"/>
      <c r="D31" s="89"/>
      <c r="E31" s="89"/>
      <c r="F31" s="89"/>
      <c r="G31" s="89"/>
      <c r="H31" s="89"/>
    </row>
    <row r="32" spans="1:8" ht="23.25" customHeight="1" x14ac:dyDescent="0.2">
      <c r="A32" s="90" t="str">
        <f>IF('BSD tabellen'!P20="","precisering",'BSD tabellen'!P20)</f>
        <v>inclusief aanhangsels 1 t/m 5</v>
      </c>
      <c r="B32" s="90"/>
      <c r="C32" s="90"/>
      <c r="D32" s="90"/>
      <c r="E32" s="90"/>
      <c r="F32" s="90"/>
      <c r="G32" s="90"/>
      <c r="H32" s="90"/>
    </row>
    <row r="33" spans="1:8" x14ac:dyDescent="0.2">
      <c r="A33" s="7" t="s">
        <v>20</v>
      </c>
    </row>
    <row r="34" spans="1:8" ht="12.75" customHeight="1" x14ac:dyDescent="0.25">
      <c r="A34" s="59" t="s">
        <v>50</v>
      </c>
      <c r="B34" s="51"/>
      <c r="C34" s="31"/>
      <c r="D34" s="51"/>
      <c r="E34" s="51"/>
      <c r="F34" s="51"/>
      <c r="G34" s="51"/>
      <c r="H34" s="73" t="s">
        <v>115</v>
      </c>
    </row>
    <row r="35" spans="1:8" ht="21.2" customHeight="1" x14ac:dyDescent="0.2">
      <c r="A35" s="79" t="s">
        <v>50</v>
      </c>
      <c r="C35" s="57"/>
      <c r="D35" s="57"/>
      <c r="E35" s="57"/>
      <c r="F35" s="57"/>
      <c r="G35" s="57"/>
      <c r="H35" s="26" t="s">
        <v>9</v>
      </c>
    </row>
    <row r="36" spans="1:8" ht="21.2" customHeight="1" x14ac:dyDescent="0.35">
      <c r="A36" s="79"/>
      <c r="C36" s="57"/>
      <c r="D36" s="57"/>
      <c r="E36" s="57"/>
      <c r="F36" s="57"/>
      <c r="G36" s="57"/>
      <c r="H36" s="27" t="str">
        <f>IF(AND(Complexiteit&gt;=1,Complexiteit&lt;=5),INDEX('BSD tabellen'!V2:V6,Complexiteit),"")</f>
        <v/>
      </c>
    </row>
    <row r="37" spans="1:8" ht="21.2" customHeight="1" x14ac:dyDescent="0.2">
      <c r="A37" s="79"/>
    </row>
    <row r="38" spans="1:8" ht="21.2" customHeight="1" x14ac:dyDescent="0.2">
      <c r="A38" s="79"/>
    </row>
    <row r="39" spans="1:8" ht="21.2" customHeight="1" x14ac:dyDescent="0.2">
      <c r="A39" s="79"/>
    </row>
    <row r="40" spans="1:8" ht="3" customHeight="1" x14ac:dyDescent="0.2"/>
    <row r="41" spans="1:8" ht="12.75" customHeight="1" x14ac:dyDescent="0.2">
      <c r="A41" s="102" t="str">
        <f>IF(OR(B18=1,B18=2),"Vermogensbeheer kán meetellen tot en met 'Coördinator'",IF(OR(B18=3,B18=4),"Vermogensbeheer kán meetellen tot en met 'Volledig uitvoerend'",""))</f>
        <v/>
      </c>
      <c r="B41" s="102"/>
      <c r="C41" s="102"/>
      <c r="D41" s="102"/>
      <c r="E41" s="102"/>
      <c r="F41" s="102"/>
      <c r="G41" s="102"/>
    </row>
    <row r="42" spans="1:8" ht="90" customHeight="1" x14ac:dyDescent="0.2">
      <c r="A42" s="82" t="s">
        <v>97</v>
      </c>
      <c r="B42" s="83"/>
      <c r="C42" s="83"/>
      <c r="D42" s="83"/>
      <c r="E42" s="83"/>
      <c r="F42" s="83"/>
      <c r="G42" s="83"/>
    </row>
    <row r="43" spans="1:8" ht="12.75" customHeight="1" x14ac:dyDescent="0.2">
      <c r="A43" s="32"/>
      <c r="B43" s="5"/>
      <c r="C43" s="5"/>
      <c r="D43" s="5"/>
      <c r="E43" s="5"/>
      <c r="F43" s="5"/>
      <c r="G43" s="5"/>
    </row>
    <row r="44" spans="1:8" x14ac:dyDescent="0.2">
      <c r="A44" s="7" t="s">
        <v>51</v>
      </c>
    </row>
    <row r="45" spans="1:8" ht="15" x14ac:dyDescent="0.25">
      <c r="A45" s="7" t="s">
        <v>52</v>
      </c>
      <c r="C45" s="31"/>
      <c r="H45" s="73" t="s">
        <v>116</v>
      </c>
    </row>
    <row r="46" spans="1:8" ht="21.2" customHeight="1" x14ac:dyDescent="0.2">
      <c r="A46" s="79" t="s">
        <v>52</v>
      </c>
      <c r="C46" s="57"/>
      <c r="D46" s="57"/>
      <c r="E46" s="57"/>
      <c r="F46" s="57"/>
      <c r="G46" s="57"/>
      <c r="H46" s="26" t="s">
        <v>9</v>
      </c>
    </row>
    <row r="47" spans="1:8" ht="21.2" customHeight="1" x14ac:dyDescent="0.35">
      <c r="A47" s="79"/>
      <c r="C47" s="57"/>
      <c r="D47" s="57"/>
      <c r="E47" s="57"/>
      <c r="F47" s="57"/>
      <c r="G47" s="57"/>
      <c r="H47" s="27" t="str">
        <f>IF(AND(Context_Aansturing&gt;=1,Context_Aansturing&lt;=5),INDEX('BSD tabellen'!Y2:Y6,Context_Aansturing),"")</f>
        <v/>
      </c>
    </row>
    <row r="48" spans="1:8" ht="21.2" customHeight="1" x14ac:dyDescent="0.2">
      <c r="A48" s="79"/>
    </row>
    <row r="49" spans="1:8" ht="21.2" customHeight="1" x14ac:dyDescent="0.2">
      <c r="A49" s="79"/>
    </row>
    <row r="50" spans="1:8" ht="21.2" customHeight="1" x14ac:dyDescent="0.2">
      <c r="A50" s="79"/>
    </row>
    <row r="51" spans="1:8" ht="3" customHeight="1" x14ac:dyDescent="0.2"/>
    <row r="52" spans="1:8" ht="63" customHeight="1" x14ac:dyDescent="0.2">
      <c r="A52" s="82" t="s">
        <v>55</v>
      </c>
      <c r="B52" s="83"/>
      <c r="C52" s="83"/>
      <c r="D52" s="83"/>
      <c r="E52" s="83"/>
      <c r="F52" s="83"/>
      <c r="G52" s="83"/>
    </row>
    <row r="54" spans="1:8" ht="15" x14ac:dyDescent="0.25">
      <c r="A54" s="50" t="s">
        <v>53</v>
      </c>
      <c r="C54" s="31"/>
      <c r="H54" s="73" t="s">
        <v>117</v>
      </c>
    </row>
    <row r="55" spans="1:8" ht="21.2" customHeight="1" x14ac:dyDescent="0.2">
      <c r="A55" s="79" t="s">
        <v>53</v>
      </c>
      <c r="C55" s="57"/>
      <c r="D55" s="57"/>
      <c r="E55" s="57"/>
      <c r="F55" s="57"/>
      <c r="G55" s="57"/>
      <c r="H55" s="26" t="s">
        <v>9</v>
      </c>
    </row>
    <row r="56" spans="1:8" ht="21.2" customHeight="1" x14ac:dyDescent="0.35">
      <c r="A56" s="79"/>
      <c r="C56" s="57"/>
      <c r="D56" s="57"/>
      <c r="E56" s="57"/>
      <c r="F56" s="57"/>
      <c r="G56" s="57"/>
      <c r="H56" s="27" t="str">
        <f>IF(AND(Context_Rol&gt;=1,Context_Rol&lt;=5),INDEX('BSD tabellen'!Z2:Z6,Context_Rol),"")</f>
        <v/>
      </c>
    </row>
    <row r="57" spans="1:8" ht="21.2" customHeight="1" x14ac:dyDescent="0.2">
      <c r="A57" s="79"/>
    </row>
    <row r="58" spans="1:8" ht="21.2" customHeight="1" x14ac:dyDescent="0.2">
      <c r="A58" s="79"/>
    </row>
    <row r="59" spans="1:8" ht="21.2" customHeight="1" x14ac:dyDescent="0.2">
      <c r="A59" s="79"/>
    </row>
    <row r="60" spans="1:8" ht="3" customHeight="1" x14ac:dyDescent="0.2"/>
    <row r="61" spans="1:8" ht="63" customHeight="1" x14ac:dyDescent="0.2">
      <c r="A61" s="82" t="s">
        <v>54</v>
      </c>
      <c r="B61" s="83"/>
      <c r="C61" s="83"/>
      <c r="D61" s="83"/>
      <c r="E61" s="83"/>
      <c r="F61" s="83"/>
      <c r="G61" s="83"/>
    </row>
    <row r="62" spans="1:8" ht="15" x14ac:dyDescent="0.25">
      <c r="H62" s="73" t="s">
        <v>118</v>
      </c>
    </row>
    <row r="63" spans="1:8" x14ac:dyDescent="0.2">
      <c r="A63" s="7" t="s">
        <v>58</v>
      </c>
      <c r="H63" s="26" t="s">
        <v>9</v>
      </c>
    </row>
    <row r="64" spans="1:8" ht="21.2" customHeight="1" x14ac:dyDescent="0.35">
      <c r="A64" s="95" t="str">
        <f>IF(OR(SUM(Omvang_Fin_BSD)=0,SUM(Omvang_Fin_Fds_BSD)=0,SUM(Omvang_FTE_BSD)=0,SUM(Complexiteit_BSD)=0,SUM(Context_Aansturing_BSD)=0,SUM(Context_Rol_BSD)=0),"Nog niet alle BSD scores zijn ingevuld.","BRUTO BSD score van uw organisatie (nog zonder eventuele aftrek vanwege het directiemodel):")</f>
        <v>Nog niet alle BSD scores zijn ingevuld.</v>
      </c>
      <c r="B64" s="95"/>
      <c r="C64" s="95"/>
      <c r="D64" s="95"/>
      <c r="E64" s="95"/>
      <c r="F64" s="95"/>
      <c r="H64" s="27" t="str">
        <f>IF(SUM(Omvang_Fin_BSD,Omvang_Fin_Fds_BSD,Omvang_FTE_BSD,Complexiteit_BSD,Context_Aansturing_BSD,Context_Rol_BSD)=0,"",SUM(Omvang_Fin_BSD,Omvang_Fin_Fds_BSD,Omvang_FTE_BSD,Complexiteit_BSD,Context_Aansturing_BSD,Context_Rol_BSD))</f>
        <v/>
      </c>
    </row>
    <row r="65" spans="1:8" ht="6.75" customHeight="1" x14ac:dyDescent="0.2">
      <c r="H65" s="28"/>
    </row>
    <row r="66" spans="1:8" ht="6" customHeight="1" x14ac:dyDescent="0.2">
      <c r="H66" s="28"/>
    </row>
    <row r="67" spans="1:8" ht="13.5" customHeight="1" x14ac:dyDescent="0.2">
      <c r="A67" s="89" t="str">
        <f>IF('BSD tabellen'!P19="","Richtlijn referentie",'BSD tabellen'!P19)</f>
        <v>Richtlijn Directiebeloning november 2020</v>
      </c>
      <c r="B67" s="89"/>
      <c r="C67" s="89"/>
      <c r="D67" s="89"/>
      <c r="E67" s="89"/>
      <c r="F67" s="89"/>
      <c r="G67" s="89"/>
      <c r="H67" s="89"/>
    </row>
    <row r="68" spans="1:8" ht="23.25" customHeight="1" x14ac:dyDescent="0.2">
      <c r="A68" s="90" t="str">
        <f>IF('BSD tabellen'!P20="","precisering",'BSD tabellen'!P20)</f>
        <v>inclusief aanhangsels 1 t/m 5</v>
      </c>
      <c r="B68" s="90"/>
      <c r="C68" s="90"/>
      <c r="D68" s="90"/>
      <c r="E68" s="90"/>
      <c r="F68" s="90"/>
      <c r="G68" s="90"/>
      <c r="H68" s="90"/>
    </row>
    <row r="69" spans="1:8" x14ac:dyDescent="0.2">
      <c r="A69" s="7" t="s">
        <v>56</v>
      </c>
      <c r="C69" s="31">
        <v>1</v>
      </c>
      <c r="G69" s="25" t="str">
        <f>IF($C$69&gt;0,"toepassing directie model op ","")</f>
        <v xml:space="preserve">toepassing directie model op </v>
      </c>
      <c r="H69" s="26" t="s">
        <v>9</v>
      </c>
    </row>
    <row r="70" spans="1:8" ht="21.2" customHeight="1" x14ac:dyDescent="0.35">
      <c r="A70" s="79" t="s">
        <v>57</v>
      </c>
      <c r="F70" t="str">
        <f>IF(Directie_Model=1,"geen reductie:","")</f>
        <v>geen reductie:</v>
      </c>
      <c r="H70" s="30">
        <f>IF(Directie_Model=1,CEILING(INDEX('BSD tabellen'!$AC$2:$AE$7,C$69,1)*SUM(Bruto_BSD),1),"")</f>
        <v>0</v>
      </c>
    </row>
    <row r="71" spans="1:8" ht="21.2" customHeight="1" x14ac:dyDescent="0.35">
      <c r="A71" s="79"/>
      <c r="F71" t="str">
        <f>IF(AND(Directie_Model&gt;=2,Directie_Model&lt;=3),"reductie lid1:","")</f>
        <v/>
      </c>
      <c r="G71" s="29" t="str">
        <f>IF(AND(Directie_Model&gt;=2,Directie_Model&lt;=3),100%-INDEX('BSD tabellen'!$AC$2:$AE$7,Directie_Model,1),"")</f>
        <v/>
      </c>
      <c r="H71" s="30" t="str">
        <f>IF(AND(Directie_Model&gt;=2,Directie_Model&lt;=3),CEILING(INDEX('BSD tabellen'!$AC$2:$AE$7,C$69,1)*SUM(Bruto_BSD),1),"")</f>
        <v/>
      </c>
    </row>
    <row r="72" spans="1:8" ht="21.2" customHeight="1" x14ac:dyDescent="0.35">
      <c r="A72" s="79"/>
      <c r="F72" t="str">
        <f>IF(AND(Directie_Model&gt;=2,Directie_Model&lt;=3),"reductie lid2:","")</f>
        <v/>
      </c>
      <c r="G72" s="29" t="str">
        <f>IF(AND(Directie_Model&gt;=2,Directie_Model&lt;=3),100%-INDEX('BSD tabellen'!$AC$2:$AE$7,Directie_Model,2),"")</f>
        <v/>
      </c>
      <c r="H72" s="30" t="str">
        <f>IF(AND(Directie_Model&gt;=2,Directie_Model&lt;=3),CEILING(INDEX('BSD tabellen'!$AC$2:$AE$7,C$69,2)*SUM(Bruto_BSD),1),"")</f>
        <v/>
      </c>
    </row>
    <row r="73" spans="1:8" ht="21.2" customHeight="1" x14ac:dyDescent="0.35">
      <c r="A73" s="79"/>
      <c r="F73" t="str">
        <f>IF(AND(Directie_Model&gt;=4,Directie_Model&lt;=6),"reductie lid1:","")</f>
        <v/>
      </c>
      <c r="G73" s="29" t="str">
        <f>IF(AND(Directie_Model&gt;=4,Directie_Model&lt;=6),100%-INDEX('BSD tabellen'!$AC$2:$AE$7,Directie_Model,1),"")</f>
        <v/>
      </c>
      <c r="H73" s="30" t="str">
        <f>IF(AND(Directie_Model&gt;=4,Directie_Model&lt;=6),CEILING(INDEX('BSD tabellen'!$AC$2:$AE$7,C$69,1)*SUM(Bruto_BSD),1),"")</f>
        <v/>
      </c>
    </row>
    <row r="74" spans="1:8" ht="21.2" customHeight="1" x14ac:dyDescent="0.35">
      <c r="A74" s="79"/>
      <c r="F74" t="str">
        <f>IF(AND(Directie_Model&gt;=4,Directie_Model&lt;=6),"reductie lid2:","")</f>
        <v/>
      </c>
      <c r="G74" s="29" t="str">
        <f>IF(AND(Directie_Model&gt;=4,Directie_Model&lt;=6),100%-INDEX('BSD tabellen'!$AC$2:$AE$7,Directie_Model,2),"")</f>
        <v/>
      </c>
      <c r="H74" s="30" t="str">
        <f>IF(AND(Directie_Model&gt;=4,Directie_Model&lt;=6),CEILING(INDEX('BSD tabellen'!$AC$2:$AE$7,C$69,2)*SUM(Bruto_BSD),1),"")</f>
        <v/>
      </c>
    </row>
    <row r="75" spans="1:8" ht="21.2" customHeight="1" x14ac:dyDescent="0.35">
      <c r="A75" s="79"/>
      <c r="F75" t="str">
        <f>IF(AND(Directie_Model&gt;=4,Directie_Model&lt;=6),"reductie lid3:","")</f>
        <v/>
      </c>
      <c r="G75" s="29" t="str">
        <f>IF(AND(Directie_Model&gt;=4,Directie_Model&lt;=6),100%-INDEX('BSD tabellen'!$AC$2:$AE$7,Directie_Model,3),"")</f>
        <v/>
      </c>
      <c r="H75" s="30" t="str">
        <f>IF(AND(Directie_Model&gt;=4,Directie_Model&lt;=6),CEILING(INDEX('BSD tabellen'!$AC$2:$AE$7,C$69,3)*SUM(Bruto_BSD),1),"")</f>
        <v/>
      </c>
    </row>
    <row r="77" spans="1:8" x14ac:dyDescent="0.2">
      <c r="A77" t="s">
        <v>0</v>
      </c>
      <c r="B77" t="str">
        <f>IF(Organisatie="","",Organisatie)</f>
        <v/>
      </c>
    </row>
    <row r="78" spans="1:8" ht="18.75" x14ac:dyDescent="0.3">
      <c r="A78" s="36" t="s">
        <v>63</v>
      </c>
      <c r="B78" s="4" t="str">
        <f>IF($C$69=1,"Directeur",IF($C$69&gt;1,"Dir.Lid 1",""))</f>
        <v>Directeur</v>
      </c>
      <c r="C78" s="4" t="str">
        <f>IF($C$69&gt;1,"Dir.Lid 2","")</f>
        <v/>
      </c>
      <c r="D78" s="76" t="str">
        <f>IF($C$69&gt;3,"Dir.Lid 3","")</f>
        <v/>
      </c>
      <c r="E78" s="76"/>
    </row>
    <row r="79" spans="1:8" x14ac:dyDescent="0.2">
      <c r="A79" s="69" t="s">
        <v>106</v>
      </c>
      <c r="B79" s="34"/>
      <c r="C79" s="34"/>
      <c r="D79" s="35"/>
      <c r="E79" s="35"/>
    </row>
    <row r="80" spans="1:8" ht="10.5" customHeight="1" x14ac:dyDescent="0.2">
      <c r="A80" s="7" t="s">
        <v>64</v>
      </c>
    </row>
    <row r="81" spans="1:8" x14ac:dyDescent="0.2">
      <c r="A81" t="s">
        <v>59</v>
      </c>
      <c r="B81" s="46"/>
      <c r="C81" s="46"/>
      <c r="D81" s="77"/>
      <c r="E81" s="77"/>
    </row>
    <row r="82" spans="1:8" x14ac:dyDescent="0.2">
      <c r="A82" t="s">
        <v>60</v>
      </c>
      <c r="B82" s="46"/>
      <c r="C82" s="46"/>
      <c r="D82" s="77"/>
      <c r="E82" s="77"/>
    </row>
    <row r="83" spans="1:8" x14ac:dyDescent="0.2">
      <c r="A83" t="s">
        <v>61</v>
      </c>
      <c r="B83" s="46"/>
      <c r="C83" s="46"/>
      <c r="D83" s="77"/>
      <c r="E83" s="77"/>
      <c r="F83" s="98" t="s">
        <v>93</v>
      </c>
      <c r="G83" s="99"/>
      <c r="H83" s="99"/>
    </row>
    <row r="84" spans="1:8" x14ac:dyDescent="0.2">
      <c r="A84" t="s">
        <v>62</v>
      </c>
      <c r="B84" s="46"/>
      <c r="C84" s="46"/>
      <c r="D84" s="77"/>
      <c r="E84" s="77"/>
      <c r="F84" s="98" t="s">
        <v>92</v>
      </c>
      <c r="G84" s="99"/>
      <c r="H84" s="99"/>
    </row>
    <row r="85" spans="1:8" x14ac:dyDescent="0.2">
      <c r="B85" s="45">
        <f>SUM(B81:B84)</f>
        <v>0</v>
      </c>
      <c r="C85" s="45">
        <f>SUM(C81:C84)</f>
        <v>0</v>
      </c>
      <c r="D85" s="101">
        <f>SUM(D81:D84)</f>
        <v>0</v>
      </c>
      <c r="E85" s="101"/>
    </row>
    <row r="86" spans="1:8" ht="38.25" x14ac:dyDescent="0.2">
      <c r="A86" s="33" t="s">
        <v>65</v>
      </c>
    </row>
    <row r="87" spans="1:8" x14ac:dyDescent="0.2">
      <c r="A87" s="25" t="s">
        <v>66</v>
      </c>
      <c r="B87" s="46"/>
      <c r="C87" s="46"/>
      <c r="D87" s="77"/>
      <c r="E87" s="77"/>
    </row>
    <row r="89" spans="1:8" ht="25.5" x14ac:dyDescent="0.2">
      <c r="A89" s="33" t="s">
        <v>67</v>
      </c>
    </row>
    <row r="90" spans="1:8" x14ac:dyDescent="0.2">
      <c r="A90" s="25" t="s">
        <v>66</v>
      </c>
      <c r="B90" s="46"/>
      <c r="C90" s="46"/>
      <c r="D90" s="77"/>
      <c r="E90" s="77"/>
    </row>
    <row r="92" spans="1:8" ht="25.5" x14ac:dyDescent="0.2">
      <c r="A92" s="33" t="s">
        <v>68</v>
      </c>
    </row>
    <row r="93" spans="1:8" x14ac:dyDescent="0.2">
      <c r="A93" s="25" t="s">
        <v>66</v>
      </c>
      <c r="B93" s="46"/>
      <c r="C93" s="46"/>
      <c r="D93" s="77"/>
      <c r="E93" s="77"/>
      <c r="F93" s="98" t="s">
        <v>71</v>
      </c>
      <c r="G93" s="99"/>
      <c r="H93" s="99"/>
    </row>
    <row r="95" spans="1:8" x14ac:dyDescent="0.2">
      <c r="A95" s="33" t="s">
        <v>84</v>
      </c>
      <c r="B95" s="64" t="str">
        <f>IF(SUM(B85,B87,B90,B93)=0,"",SUM(B85,B87,B90,B93))</f>
        <v/>
      </c>
      <c r="C95" s="64" t="str">
        <f>IF(SUM(C85,C87,C90,C93)=0,"",SUM(C85,C87,C90,C93))</f>
        <v/>
      </c>
      <c r="D95" s="100" t="str">
        <f>IF(SUM(D85,D87,D90,D93)=0,"",SUM(D85,D87,D90,D93))</f>
        <v/>
      </c>
      <c r="E95" s="100"/>
    </row>
    <row r="96" spans="1:8" x14ac:dyDescent="0.2">
      <c r="A96" s="45">
        <f>SUM(B84:E84,B87:E87,B90:E90,B93:E93,B99:E99)</f>
        <v>0</v>
      </c>
    </row>
    <row r="97" spans="1:9" x14ac:dyDescent="0.2">
      <c r="B97" s="60"/>
      <c r="C97" s="61"/>
      <c r="D97" s="97"/>
      <c r="E97" s="97"/>
    </row>
    <row r="98" spans="1:9" ht="25.5" customHeight="1" x14ac:dyDescent="0.2">
      <c r="A98" s="33" t="s">
        <v>70</v>
      </c>
      <c r="C98" s="28"/>
      <c r="D98" s="76"/>
      <c r="E98" s="76"/>
      <c r="F98" s="75" t="s">
        <v>112</v>
      </c>
      <c r="G98" s="75"/>
      <c r="H98" s="75"/>
    </row>
    <row r="99" spans="1:9" x14ac:dyDescent="0.2">
      <c r="A99" s="35" t="s">
        <v>66</v>
      </c>
      <c r="B99" s="46"/>
      <c r="C99" s="46"/>
      <c r="D99" s="77"/>
      <c r="E99" s="77"/>
      <c r="F99" s="75"/>
      <c r="G99" s="75"/>
      <c r="H99" s="75"/>
    </row>
    <row r="101" spans="1:9" ht="156.75" customHeight="1" x14ac:dyDescent="0.2">
      <c r="A101" s="58" t="s">
        <v>89</v>
      </c>
      <c r="B101" s="96"/>
      <c r="C101" s="96"/>
      <c r="D101" s="96"/>
      <c r="E101" s="96"/>
      <c r="F101" s="96"/>
      <c r="G101" s="96"/>
      <c r="H101" s="96"/>
      <c r="I101" s="68"/>
    </row>
    <row r="103" spans="1:9" x14ac:dyDescent="0.2">
      <c r="A103" t="s">
        <v>0</v>
      </c>
      <c r="B103" t="str">
        <f>IF(Organisatie="","",Organisatie)</f>
        <v/>
      </c>
    </row>
  </sheetData>
  <sheetProtection algorithmName="SHA-512" hashValue="NcreSKytM6FBPZpba+t05NaswASSQbxKnfHhIqgniTEZqwm6jQ6nPxJ6pwG4mXRXWvE2hbOxW/OrEonXy3Pg6Q==" saltValue="UUzYzQDY6tPGh1+ZD+BsPw==" spinCount="100000" sheet="1" objects="1" scenarios="1"/>
  <mergeCells count="51">
    <mergeCell ref="D82:E82"/>
    <mergeCell ref="B101:H101"/>
    <mergeCell ref="B5:C5"/>
    <mergeCell ref="D99:E99"/>
    <mergeCell ref="D97:E97"/>
    <mergeCell ref="F93:H93"/>
    <mergeCell ref="D84:E84"/>
    <mergeCell ref="D87:E87"/>
    <mergeCell ref="D90:E90"/>
    <mergeCell ref="D93:E93"/>
    <mergeCell ref="D95:E95"/>
    <mergeCell ref="D85:E85"/>
    <mergeCell ref="F83:H83"/>
    <mergeCell ref="F84:H84"/>
    <mergeCell ref="A41:G41"/>
    <mergeCell ref="A32:H32"/>
    <mergeCell ref="A68:H68"/>
    <mergeCell ref="D81:E81"/>
    <mergeCell ref="D78:E78"/>
    <mergeCell ref="A70:A75"/>
    <mergeCell ref="A14:A17"/>
    <mergeCell ref="A24:A27"/>
    <mergeCell ref="A35:A39"/>
    <mergeCell ref="A64:F64"/>
    <mergeCell ref="C14:C16"/>
    <mergeCell ref="C24:C26"/>
    <mergeCell ref="A19:A22"/>
    <mergeCell ref="C19:C21"/>
    <mergeCell ref="C22:G22"/>
    <mergeCell ref="A1:H1"/>
    <mergeCell ref="A2:H2"/>
    <mergeCell ref="A31:H31"/>
    <mergeCell ref="A55:A59"/>
    <mergeCell ref="B7:C7"/>
    <mergeCell ref="A3:C3"/>
    <mergeCell ref="F98:H99"/>
    <mergeCell ref="D98:E98"/>
    <mergeCell ref="D83:E83"/>
    <mergeCell ref="B4:C4"/>
    <mergeCell ref="A46:A50"/>
    <mergeCell ref="A29:B29"/>
    <mergeCell ref="B6:C6"/>
    <mergeCell ref="A61:G61"/>
    <mergeCell ref="C29:H29"/>
    <mergeCell ref="C17:G17"/>
    <mergeCell ref="C27:G27"/>
    <mergeCell ref="C28:H28"/>
    <mergeCell ref="E3:H10"/>
    <mergeCell ref="A67:H67"/>
    <mergeCell ref="A42:G42"/>
    <mergeCell ref="A52:G52"/>
  </mergeCells>
  <conditionalFormatting sqref="H71:H75">
    <cfRule type="cellIs" dxfId="67" priority="88" operator="notEqual">
      <formula>""</formula>
    </cfRule>
  </conditionalFormatting>
  <conditionalFormatting sqref="B81">
    <cfRule type="expression" dxfId="66" priority="87">
      <formula>B$78&lt;&gt;""</formula>
    </cfRule>
  </conditionalFormatting>
  <conditionalFormatting sqref="B82">
    <cfRule type="expression" dxfId="65" priority="77">
      <formula>B$78&lt;&gt;""</formula>
    </cfRule>
  </conditionalFormatting>
  <conditionalFormatting sqref="B83">
    <cfRule type="expression" dxfId="64" priority="76">
      <formula>B$78&lt;&gt;""</formula>
    </cfRule>
  </conditionalFormatting>
  <conditionalFormatting sqref="D81:E81">
    <cfRule type="expression" dxfId="63" priority="64">
      <formula>D$78&lt;&gt;""</formula>
    </cfRule>
  </conditionalFormatting>
  <conditionalFormatting sqref="A99">
    <cfRule type="expression" dxfId="62" priority="49">
      <formula>OR($B$97=1,$C$97=1,$D$97=1)</formula>
    </cfRule>
  </conditionalFormatting>
  <conditionalFormatting sqref="B84">
    <cfRule type="expression" dxfId="61" priority="48">
      <formula>B$78&lt;&gt;""</formula>
    </cfRule>
  </conditionalFormatting>
  <conditionalFormatting sqref="C81">
    <cfRule type="expression" dxfId="60" priority="47">
      <formula>C$78&lt;&gt;""</formula>
    </cfRule>
  </conditionalFormatting>
  <conditionalFormatting sqref="C82">
    <cfRule type="expression" dxfId="59" priority="46">
      <formula>C$78&lt;&gt;""</formula>
    </cfRule>
  </conditionalFormatting>
  <conditionalFormatting sqref="C83">
    <cfRule type="expression" dxfId="58" priority="45">
      <formula>C$78&lt;&gt;""</formula>
    </cfRule>
  </conditionalFormatting>
  <conditionalFormatting sqref="C84">
    <cfRule type="expression" dxfId="57" priority="44">
      <formula>C$78&lt;&gt;""</formula>
    </cfRule>
  </conditionalFormatting>
  <conditionalFormatting sqref="B87">
    <cfRule type="expression" dxfId="56" priority="40">
      <formula>B$78&lt;&gt;""</formula>
    </cfRule>
  </conditionalFormatting>
  <conditionalFormatting sqref="C87">
    <cfRule type="expression" dxfId="55" priority="38">
      <formula>C$78&lt;&gt;""</formula>
    </cfRule>
  </conditionalFormatting>
  <conditionalFormatting sqref="B90">
    <cfRule type="expression" dxfId="54" priority="37">
      <formula>B$78&lt;&gt;""</formula>
    </cfRule>
  </conditionalFormatting>
  <conditionalFormatting sqref="C90">
    <cfRule type="expression" dxfId="53" priority="35">
      <formula>C$78&lt;&gt;""</formula>
    </cfRule>
  </conditionalFormatting>
  <conditionalFormatting sqref="B93">
    <cfRule type="expression" dxfId="52" priority="34">
      <formula>B$78&lt;&gt;""</formula>
    </cfRule>
  </conditionalFormatting>
  <conditionalFormatting sqref="C93">
    <cfRule type="expression" dxfId="51" priority="32">
      <formula>C$78&lt;&gt;""</formula>
    </cfRule>
  </conditionalFormatting>
  <conditionalFormatting sqref="B99">
    <cfRule type="expression" dxfId="50" priority="31">
      <formula>B$97=1</formula>
    </cfRule>
  </conditionalFormatting>
  <conditionalFormatting sqref="D99:E99">
    <cfRule type="expression" dxfId="49" priority="30">
      <formula>D$97=1</formula>
    </cfRule>
  </conditionalFormatting>
  <conditionalFormatting sqref="C99">
    <cfRule type="expression" dxfId="48" priority="28">
      <formula>C$97=1</formula>
    </cfRule>
  </conditionalFormatting>
  <conditionalFormatting sqref="B98">
    <cfRule type="expression" dxfId="47" priority="27">
      <formula>B$78&lt;&gt;""</formula>
    </cfRule>
  </conditionalFormatting>
  <conditionalFormatting sqref="C98">
    <cfRule type="expression" dxfId="46" priority="26">
      <formula>C$78&lt;&gt;""</formula>
    </cfRule>
  </conditionalFormatting>
  <conditionalFormatting sqref="D98:E98">
    <cfRule type="expression" dxfId="45" priority="25">
      <formula>D$78&lt;&gt;""</formula>
    </cfRule>
  </conditionalFormatting>
  <conditionalFormatting sqref="D82:E82">
    <cfRule type="expression" dxfId="44" priority="24">
      <formula>D$78&lt;&gt;""</formula>
    </cfRule>
  </conditionalFormatting>
  <conditionalFormatting sqref="D83:E83">
    <cfRule type="expression" dxfId="43" priority="23">
      <formula>D$78&lt;&gt;""</formula>
    </cfRule>
  </conditionalFormatting>
  <conditionalFormatting sqref="D84:E84">
    <cfRule type="expression" dxfId="42" priority="22">
      <formula>D$78&lt;&gt;""</formula>
    </cfRule>
  </conditionalFormatting>
  <conditionalFormatting sqref="D87:E87">
    <cfRule type="expression" dxfId="41" priority="21">
      <formula>D$78&lt;&gt;""</formula>
    </cfRule>
  </conditionalFormatting>
  <conditionalFormatting sqref="D90:E90">
    <cfRule type="expression" dxfId="40" priority="20">
      <formula>D$78&lt;&gt;""</formula>
    </cfRule>
  </conditionalFormatting>
  <conditionalFormatting sqref="D93:E93">
    <cfRule type="expression" dxfId="39" priority="19">
      <formula>D$78&lt;&gt;""</formula>
    </cfRule>
  </conditionalFormatting>
  <conditionalFormatting sqref="B85">
    <cfRule type="expression" dxfId="38" priority="18">
      <formula>OR($B$81&lt;&gt;"",$B$82&lt;&gt;"",$B$83&lt;&gt;"",$B$84&lt;&gt;"")</formula>
    </cfRule>
  </conditionalFormatting>
  <conditionalFormatting sqref="C85">
    <cfRule type="expression" dxfId="37" priority="17">
      <formula>OR($C$81&lt;&gt;"",$C$82&lt;&gt;"",$C$83&lt;&gt;"",$C$84&lt;&gt;"")</formula>
    </cfRule>
  </conditionalFormatting>
  <conditionalFormatting sqref="D85:E85">
    <cfRule type="expression" dxfId="36" priority="16">
      <formula>OR($D$81&lt;&gt;"",$D$82&lt;&gt;"",$D$83&lt;&gt;"",$D$84&lt;&gt;"")</formula>
    </cfRule>
  </conditionalFormatting>
  <conditionalFormatting sqref="A101">
    <cfRule type="expression" dxfId="35" priority="91">
      <formula>$A$96&gt;0</formula>
    </cfRule>
  </conditionalFormatting>
  <conditionalFormatting sqref="D95:E95">
    <cfRule type="expression" dxfId="34" priority="12">
      <formula>SUM(D85,D87,D90,D93)&lt;&gt;0</formula>
    </cfRule>
  </conditionalFormatting>
  <conditionalFormatting sqref="C95">
    <cfRule type="expression" dxfId="33" priority="11">
      <formula>SUM(C85,C87,C90,C93)&lt;&gt;0</formula>
    </cfRule>
  </conditionalFormatting>
  <conditionalFormatting sqref="A64">
    <cfRule type="expression" dxfId="32" priority="9">
      <formula>OR(SUM($H$16)=0,SUM($H$26)=0,SUM($H$36)=0,SUM($H$47)=0,SUM($H$56)=0)</formula>
    </cfRule>
  </conditionalFormatting>
  <conditionalFormatting sqref="B101:H101">
    <cfRule type="expression" dxfId="31" priority="8">
      <formula>$A$96&gt;0</formula>
    </cfRule>
  </conditionalFormatting>
  <conditionalFormatting sqref="A77">
    <cfRule type="expression" dxfId="30" priority="7">
      <formula>$B$77=""</formula>
    </cfRule>
  </conditionalFormatting>
  <conditionalFormatting sqref="A103">
    <cfRule type="expression" dxfId="29" priority="6">
      <formula>Organisatie=""</formula>
    </cfRule>
  </conditionalFormatting>
  <conditionalFormatting sqref="B95">
    <cfRule type="expression" dxfId="28" priority="5">
      <formula>SUM(B85,B87,B90,B93)&lt;&gt;0</formula>
    </cfRule>
  </conditionalFormatting>
  <conditionalFormatting sqref="C29:H29">
    <cfRule type="expression" dxfId="27" priority="2">
      <formula>OR(Omvang_Fin_sub=1,Omvang_Fin_sub=3,Omvang_Fin_Fds_sub=1,Omvang_Fin_Fds_sub=3,Omvang_FTE_sub=1,Omvang_FTE_sub=3)</formula>
    </cfRule>
  </conditionalFormatting>
  <conditionalFormatting sqref="H70">
    <cfRule type="cellIs" dxfId="26" priority="1" operator="notEqual">
      <formula>""</formula>
    </cfRule>
  </conditionalFormatting>
  <pageMargins left="0.51181102362204722" right="0.51181102362204722" top="0.15748031496062992" bottom="0.6692913385826772" header="0" footer="0.31496062992125984"/>
  <pageSetup paperSize="9" orientation="portrait" r:id="rId1"/>
  <headerFooter>
    <oddFooter>&amp;C© Centraal Bureau Fondsenwerving&amp;Rpagina &amp;P van &amp;N</oddFooter>
  </headerFooter>
  <rowBreaks count="2" manualBreakCount="2">
    <brk id="30" max="7" man="1"/>
    <brk id="6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 r:id="rId4" name="Option Button 103">
              <controlPr defaultSize="0" autoFill="0" autoLine="0" autoPict="0">
                <anchor moveWithCells="1">
                  <from>
                    <xdr:col>1</xdr:col>
                    <xdr:colOff>85725</xdr:colOff>
                    <xdr:row>97</xdr:row>
                    <xdr:rowOff>76200</xdr:rowOff>
                  </from>
                  <to>
                    <xdr:col>1</xdr:col>
                    <xdr:colOff>457200</xdr:colOff>
                    <xdr:row>97</xdr:row>
                    <xdr:rowOff>219075</xdr:rowOff>
                  </to>
                </anchor>
              </controlPr>
            </control>
          </mc:Choice>
        </mc:AlternateContent>
        <mc:AlternateContent xmlns:mc="http://schemas.openxmlformats.org/markup-compatibility/2006">
          <mc:Choice Requires="x14">
            <control shapeId="1128" r:id="rId5" name="Option Button 104">
              <controlPr defaultSize="0" autoFill="0" autoLine="0" autoPict="0">
                <anchor moveWithCells="1">
                  <from>
                    <xdr:col>1</xdr:col>
                    <xdr:colOff>590550</xdr:colOff>
                    <xdr:row>97</xdr:row>
                    <xdr:rowOff>76200</xdr:rowOff>
                  </from>
                  <to>
                    <xdr:col>1</xdr:col>
                    <xdr:colOff>1019175</xdr:colOff>
                    <xdr:row>97</xdr:row>
                    <xdr:rowOff>219075</xdr:rowOff>
                  </to>
                </anchor>
              </controlPr>
            </control>
          </mc:Choice>
        </mc:AlternateContent>
        <mc:AlternateContent xmlns:mc="http://schemas.openxmlformats.org/markup-compatibility/2006">
          <mc:Choice Requires="x14">
            <control shapeId="1124" r:id="rId6" name="Group Box 100">
              <controlPr defaultSize="0" autoFill="0" autoPict="0">
                <anchor moveWithCells="1">
                  <from>
                    <xdr:col>1</xdr:col>
                    <xdr:colOff>19050</xdr:colOff>
                    <xdr:row>97</xdr:row>
                    <xdr:rowOff>47625</xdr:rowOff>
                  </from>
                  <to>
                    <xdr:col>1</xdr:col>
                    <xdr:colOff>1057275</xdr:colOff>
                    <xdr:row>97</xdr:row>
                    <xdr:rowOff>247650</xdr:rowOff>
                  </to>
                </anchor>
              </controlPr>
            </control>
          </mc:Choice>
        </mc:AlternateContent>
        <mc:AlternateContent xmlns:mc="http://schemas.openxmlformats.org/markup-compatibility/2006">
          <mc:Choice Requires="x14">
            <control shapeId="1029" r:id="rId7" name="Keuzerondje 2">
              <controlPr defaultSize="0" autoFill="0" autoLine="0" autoPict="0">
                <anchor moveWithCells="1">
                  <from>
                    <xdr:col>0</xdr:col>
                    <xdr:colOff>485775</xdr:colOff>
                    <xdr:row>13</xdr:row>
                    <xdr:rowOff>76200</xdr:rowOff>
                  </from>
                  <to>
                    <xdr:col>1</xdr:col>
                    <xdr:colOff>962025</xdr:colOff>
                    <xdr:row>14</xdr:row>
                    <xdr:rowOff>0</xdr:rowOff>
                  </to>
                </anchor>
              </controlPr>
            </control>
          </mc:Choice>
        </mc:AlternateContent>
        <mc:AlternateContent xmlns:mc="http://schemas.openxmlformats.org/markup-compatibility/2006">
          <mc:Choice Requires="x14">
            <control shapeId="1030" r:id="rId8" name="Keuzerondje 3">
              <controlPr defaultSize="0" autoFill="0" autoLine="0" autoPict="0">
                <anchor moveWithCells="1">
                  <from>
                    <xdr:col>0</xdr:col>
                    <xdr:colOff>485775</xdr:colOff>
                    <xdr:row>14</xdr:row>
                    <xdr:rowOff>28575</xdr:rowOff>
                  </from>
                  <to>
                    <xdr:col>1</xdr:col>
                    <xdr:colOff>962025</xdr:colOff>
                    <xdr:row>14</xdr:row>
                    <xdr:rowOff>228600</xdr:rowOff>
                  </to>
                </anchor>
              </controlPr>
            </control>
          </mc:Choice>
        </mc:AlternateContent>
        <mc:AlternateContent xmlns:mc="http://schemas.openxmlformats.org/markup-compatibility/2006">
          <mc:Choice Requires="x14">
            <control shapeId="1031" r:id="rId9" name="Keuzerondje 1">
              <controlPr defaultSize="0" autoFill="0" autoLine="0" autoPict="0" altText="           € 0 t/m € 500.000">
                <anchor moveWithCells="1">
                  <from>
                    <xdr:col>0</xdr:col>
                    <xdr:colOff>485775</xdr:colOff>
                    <xdr:row>15</xdr:row>
                    <xdr:rowOff>0</xdr:rowOff>
                  </from>
                  <to>
                    <xdr:col>1</xdr:col>
                    <xdr:colOff>962025</xdr:colOff>
                    <xdr:row>15</xdr:row>
                    <xdr:rowOff>200025</xdr:rowOff>
                  </to>
                </anchor>
              </controlPr>
            </control>
          </mc:Choice>
        </mc:AlternateContent>
        <mc:AlternateContent xmlns:mc="http://schemas.openxmlformats.org/markup-compatibility/2006">
          <mc:Choice Requires="x14">
            <control shapeId="1032" r:id="rId10" name="Keuzerondje 1">
              <controlPr defaultSize="0" autoFill="0" autoLine="0" autoPict="0" altText="           € 0 t/m € 500.000">
                <anchor moveWithCells="1">
                  <from>
                    <xdr:col>0</xdr:col>
                    <xdr:colOff>485775</xdr:colOff>
                    <xdr:row>15</xdr:row>
                    <xdr:rowOff>238125</xdr:rowOff>
                  </from>
                  <to>
                    <xdr:col>1</xdr:col>
                    <xdr:colOff>962025</xdr:colOff>
                    <xdr:row>16</xdr:row>
                    <xdr:rowOff>171450</xdr:rowOff>
                  </to>
                </anchor>
              </controlPr>
            </control>
          </mc:Choice>
        </mc:AlternateContent>
        <mc:AlternateContent xmlns:mc="http://schemas.openxmlformats.org/markup-compatibility/2006">
          <mc:Choice Requires="x14">
            <control shapeId="1037" r:id="rId11" name="Keuzerondje 2">
              <controlPr defaultSize="0" autoFill="0" autoLine="0" autoPict="0">
                <anchor moveWithCells="1">
                  <from>
                    <xdr:col>0</xdr:col>
                    <xdr:colOff>895350</xdr:colOff>
                    <xdr:row>23</xdr:row>
                    <xdr:rowOff>57150</xdr:rowOff>
                  </from>
                  <to>
                    <xdr:col>1</xdr:col>
                    <xdr:colOff>962025</xdr:colOff>
                    <xdr:row>23</xdr:row>
                    <xdr:rowOff>247650</xdr:rowOff>
                  </to>
                </anchor>
              </controlPr>
            </control>
          </mc:Choice>
        </mc:AlternateContent>
        <mc:AlternateContent xmlns:mc="http://schemas.openxmlformats.org/markup-compatibility/2006">
          <mc:Choice Requires="x14">
            <control shapeId="1038" r:id="rId12" name="Keuzerondje 3">
              <controlPr defaultSize="0" autoFill="0" autoLine="0" autoPict="0">
                <anchor moveWithCells="1">
                  <from>
                    <xdr:col>0</xdr:col>
                    <xdr:colOff>885825</xdr:colOff>
                    <xdr:row>24</xdr:row>
                    <xdr:rowOff>28575</xdr:rowOff>
                  </from>
                  <to>
                    <xdr:col>1</xdr:col>
                    <xdr:colOff>962025</xdr:colOff>
                    <xdr:row>24</xdr:row>
                    <xdr:rowOff>228600</xdr:rowOff>
                  </to>
                </anchor>
              </controlPr>
            </control>
          </mc:Choice>
        </mc:AlternateContent>
        <mc:AlternateContent xmlns:mc="http://schemas.openxmlformats.org/markup-compatibility/2006">
          <mc:Choice Requires="x14">
            <control shapeId="1039" r:id="rId13" name="Keuzerondje 1">
              <controlPr defaultSize="0" autoFill="0" autoLine="0" autoPict="0" altText="           € 0 t/m € 500.000">
                <anchor moveWithCells="1">
                  <from>
                    <xdr:col>0</xdr:col>
                    <xdr:colOff>895350</xdr:colOff>
                    <xdr:row>25</xdr:row>
                    <xdr:rowOff>0</xdr:rowOff>
                  </from>
                  <to>
                    <xdr:col>1</xdr:col>
                    <xdr:colOff>962025</xdr:colOff>
                    <xdr:row>25</xdr:row>
                    <xdr:rowOff>200025</xdr:rowOff>
                  </to>
                </anchor>
              </controlPr>
            </control>
          </mc:Choice>
        </mc:AlternateContent>
        <mc:AlternateContent xmlns:mc="http://schemas.openxmlformats.org/markup-compatibility/2006">
          <mc:Choice Requires="x14">
            <control shapeId="1040" r:id="rId14" name="Option Button 16">
              <controlPr defaultSize="0" autoFill="0" autoLine="0" autoPict="0" altText="           € 0 t/m € 500.000">
                <anchor moveWithCells="1">
                  <from>
                    <xdr:col>0</xdr:col>
                    <xdr:colOff>885825</xdr:colOff>
                    <xdr:row>25</xdr:row>
                    <xdr:rowOff>238125</xdr:rowOff>
                  </from>
                  <to>
                    <xdr:col>1</xdr:col>
                    <xdr:colOff>962025</xdr:colOff>
                    <xdr:row>26</xdr:row>
                    <xdr:rowOff>171450</xdr:rowOff>
                  </to>
                </anchor>
              </controlPr>
            </control>
          </mc:Choice>
        </mc:AlternateContent>
        <mc:AlternateContent xmlns:mc="http://schemas.openxmlformats.org/markup-compatibility/2006">
          <mc:Choice Requires="x14">
            <control shapeId="1045" r:id="rId15" name="Group Box 21">
              <controlPr defaultSize="0" autoFill="0" autoPict="0">
                <anchor moveWithCells="1">
                  <from>
                    <xdr:col>0</xdr:col>
                    <xdr:colOff>28575</xdr:colOff>
                    <xdr:row>13</xdr:row>
                    <xdr:rowOff>38100</xdr:rowOff>
                  </from>
                  <to>
                    <xdr:col>1</xdr:col>
                    <xdr:colOff>990600</xdr:colOff>
                    <xdr:row>16</xdr:row>
                    <xdr:rowOff>209550</xdr:rowOff>
                  </to>
                </anchor>
              </controlPr>
            </control>
          </mc:Choice>
        </mc:AlternateContent>
        <mc:AlternateContent xmlns:mc="http://schemas.openxmlformats.org/markup-compatibility/2006">
          <mc:Choice Requires="x14">
            <control shapeId="1046" r:id="rId16" name="Group Box 22">
              <controlPr defaultSize="0" autoFill="0" autoPict="0">
                <anchor moveWithCells="1">
                  <from>
                    <xdr:col>0</xdr:col>
                    <xdr:colOff>28575</xdr:colOff>
                    <xdr:row>23</xdr:row>
                    <xdr:rowOff>38100</xdr:rowOff>
                  </from>
                  <to>
                    <xdr:col>1</xdr:col>
                    <xdr:colOff>990600</xdr:colOff>
                    <xdr:row>26</xdr:row>
                    <xdr:rowOff>209550</xdr:rowOff>
                  </to>
                </anchor>
              </controlPr>
            </control>
          </mc:Choice>
        </mc:AlternateContent>
        <mc:AlternateContent xmlns:mc="http://schemas.openxmlformats.org/markup-compatibility/2006">
          <mc:Choice Requires="x14">
            <control shapeId="1047" r:id="rId17" name="Option Button 23">
              <controlPr defaultSize="0" autoFill="0" autoLine="0" autoPict="0">
                <anchor moveWithCells="1">
                  <from>
                    <xdr:col>2</xdr:col>
                    <xdr:colOff>571500</xdr:colOff>
                    <xdr:row>13</xdr:row>
                    <xdr:rowOff>76200</xdr:rowOff>
                  </from>
                  <to>
                    <xdr:col>6</xdr:col>
                    <xdr:colOff>276225</xdr:colOff>
                    <xdr:row>14</xdr:row>
                    <xdr:rowOff>0</xdr:rowOff>
                  </to>
                </anchor>
              </controlPr>
            </control>
          </mc:Choice>
        </mc:AlternateContent>
        <mc:AlternateContent xmlns:mc="http://schemas.openxmlformats.org/markup-compatibility/2006">
          <mc:Choice Requires="x14">
            <control shapeId="1048" r:id="rId18" name="Option Button 24">
              <controlPr defaultSize="0" autoFill="0" autoLine="0" autoPict="0">
                <anchor moveWithCells="1">
                  <from>
                    <xdr:col>2</xdr:col>
                    <xdr:colOff>571500</xdr:colOff>
                    <xdr:row>14</xdr:row>
                    <xdr:rowOff>38100</xdr:rowOff>
                  </from>
                  <to>
                    <xdr:col>6</xdr:col>
                    <xdr:colOff>276225</xdr:colOff>
                    <xdr:row>14</xdr:row>
                    <xdr:rowOff>228600</xdr:rowOff>
                  </to>
                </anchor>
              </controlPr>
            </control>
          </mc:Choice>
        </mc:AlternateContent>
        <mc:AlternateContent xmlns:mc="http://schemas.openxmlformats.org/markup-compatibility/2006">
          <mc:Choice Requires="x14">
            <control shapeId="1049" r:id="rId19" name="Option Button 25">
              <controlPr defaultSize="0" autoFill="0" autoLine="0" autoPict="0">
                <anchor moveWithCells="1">
                  <from>
                    <xdr:col>2</xdr:col>
                    <xdr:colOff>571500</xdr:colOff>
                    <xdr:row>15</xdr:row>
                    <xdr:rowOff>9525</xdr:rowOff>
                  </from>
                  <to>
                    <xdr:col>6</xdr:col>
                    <xdr:colOff>276225</xdr:colOff>
                    <xdr:row>15</xdr:row>
                    <xdr:rowOff>219075</xdr:rowOff>
                  </to>
                </anchor>
              </controlPr>
            </control>
          </mc:Choice>
        </mc:AlternateContent>
        <mc:AlternateContent xmlns:mc="http://schemas.openxmlformats.org/markup-compatibility/2006">
          <mc:Choice Requires="x14">
            <control shapeId="1050" r:id="rId20" name="Group Box 26">
              <controlPr defaultSize="0" autoFill="0" autoPict="0">
                <anchor moveWithCells="1">
                  <from>
                    <xdr:col>2</xdr:col>
                    <xdr:colOff>38100</xdr:colOff>
                    <xdr:row>13</xdr:row>
                    <xdr:rowOff>38100</xdr:rowOff>
                  </from>
                  <to>
                    <xdr:col>6</xdr:col>
                    <xdr:colOff>304800</xdr:colOff>
                    <xdr:row>15</xdr:row>
                    <xdr:rowOff>238125</xdr:rowOff>
                  </to>
                </anchor>
              </controlPr>
            </control>
          </mc:Choice>
        </mc:AlternateContent>
        <mc:AlternateContent xmlns:mc="http://schemas.openxmlformats.org/markup-compatibility/2006">
          <mc:Choice Requires="x14">
            <control shapeId="1051" r:id="rId21" name="Option Button 27">
              <controlPr defaultSize="0" autoFill="0" autoLine="0" autoPict="0">
                <anchor moveWithCells="1">
                  <from>
                    <xdr:col>2</xdr:col>
                    <xdr:colOff>571500</xdr:colOff>
                    <xdr:row>23</xdr:row>
                    <xdr:rowOff>66675</xdr:rowOff>
                  </from>
                  <to>
                    <xdr:col>6</xdr:col>
                    <xdr:colOff>285750</xdr:colOff>
                    <xdr:row>23</xdr:row>
                    <xdr:rowOff>257175</xdr:rowOff>
                  </to>
                </anchor>
              </controlPr>
            </control>
          </mc:Choice>
        </mc:AlternateContent>
        <mc:AlternateContent xmlns:mc="http://schemas.openxmlformats.org/markup-compatibility/2006">
          <mc:Choice Requires="x14">
            <control shapeId="1052" r:id="rId22" name="Option Button 28">
              <controlPr defaultSize="0" autoFill="0" autoLine="0" autoPict="0">
                <anchor moveWithCells="1">
                  <from>
                    <xdr:col>2</xdr:col>
                    <xdr:colOff>571500</xdr:colOff>
                    <xdr:row>24</xdr:row>
                    <xdr:rowOff>19050</xdr:rowOff>
                  </from>
                  <to>
                    <xdr:col>6</xdr:col>
                    <xdr:colOff>285750</xdr:colOff>
                    <xdr:row>24</xdr:row>
                    <xdr:rowOff>228600</xdr:rowOff>
                  </to>
                </anchor>
              </controlPr>
            </control>
          </mc:Choice>
        </mc:AlternateContent>
        <mc:AlternateContent xmlns:mc="http://schemas.openxmlformats.org/markup-compatibility/2006">
          <mc:Choice Requires="x14">
            <control shapeId="1053" r:id="rId23" name="Option Button 29">
              <controlPr defaultSize="0" autoFill="0" autoLine="0" autoPict="0">
                <anchor moveWithCells="1">
                  <from>
                    <xdr:col>2</xdr:col>
                    <xdr:colOff>571500</xdr:colOff>
                    <xdr:row>24</xdr:row>
                    <xdr:rowOff>257175</xdr:rowOff>
                  </from>
                  <to>
                    <xdr:col>6</xdr:col>
                    <xdr:colOff>285750</xdr:colOff>
                    <xdr:row>25</xdr:row>
                    <xdr:rowOff>180975</xdr:rowOff>
                  </to>
                </anchor>
              </controlPr>
            </control>
          </mc:Choice>
        </mc:AlternateContent>
        <mc:AlternateContent xmlns:mc="http://schemas.openxmlformats.org/markup-compatibility/2006">
          <mc:Choice Requires="x14">
            <control shapeId="1054" r:id="rId24" name="Group Box 30">
              <controlPr defaultSize="0" autoFill="0" autoPict="0">
                <anchor moveWithCells="1">
                  <from>
                    <xdr:col>2</xdr:col>
                    <xdr:colOff>38100</xdr:colOff>
                    <xdr:row>23</xdr:row>
                    <xdr:rowOff>28575</xdr:rowOff>
                  </from>
                  <to>
                    <xdr:col>6</xdr:col>
                    <xdr:colOff>314325</xdr:colOff>
                    <xdr:row>25</xdr:row>
                    <xdr:rowOff>228600</xdr:rowOff>
                  </to>
                </anchor>
              </controlPr>
            </control>
          </mc:Choice>
        </mc:AlternateContent>
        <mc:AlternateContent xmlns:mc="http://schemas.openxmlformats.org/markup-compatibility/2006">
          <mc:Choice Requires="x14">
            <control shapeId="1055" r:id="rId25" name="Option Button 31">
              <controlPr defaultSize="0" autoFill="0" autoLine="0" autoPict="0">
                <anchor moveWithCells="1">
                  <from>
                    <xdr:col>0</xdr:col>
                    <xdr:colOff>361950</xdr:colOff>
                    <xdr:row>34</xdr:row>
                    <xdr:rowOff>66675</xdr:rowOff>
                  </from>
                  <to>
                    <xdr:col>6</xdr:col>
                    <xdr:colOff>266700</xdr:colOff>
                    <xdr:row>35</xdr:row>
                    <xdr:rowOff>9525</xdr:rowOff>
                  </to>
                </anchor>
              </controlPr>
            </control>
          </mc:Choice>
        </mc:AlternateContent>
        <mc:AlternateContent xmlns:mc="http://schemas.openxmlformats.org/markup-compatibility/2006">
          <mc:Choice Requires="x14">
            <control shapeId="1060" r:id="rId26" name="Group Box 36">
              <controlPr defaultSize="0" autoFill="0" autoPict="0">
                <anchor moveWithCells="1">
                  <from>
                    <xdr:col>0</xdr:col>
                    <xdr:colOff>38100</xdr:colOff>
                    <xdr:row>34</xdr:row>
                    <xdr:rowOff>28575</xdr:rowOff>
                  </from>
                  <to>
                    <xdr:col>6</xdr:col>
                    <xdr:colOff>295275</xdr:colOff>
                    <xdr:row>38</xdr:row>
                    <xdr:rowOff>238125</xdr:rowOff>
                  </to>
                </anchor>
              </controlPr>
            </control>
          </mc:Choice>
        </mc:AlternateContent>
        <mc:AlternateContent xmlns:mc="http://schemas.openxmlformats.org/markup-compatibility/2006">
          <mc:Choice Requires="x14">
            <control shapeId="1089" r:id="rId27" name="Option Button 65">
              <controlPr defaultSize="0" autoFill="0" autoLine="0" autoPict="0">
                <anchor moveWithCells="1">
                  <from>
                    <xdr:col>0</xdr:col>
                    <xdr:colOff>361950</xdr:colOff>
                    <xdr:row>35</xdr:row>
                    <xdr:rowOff>47625</xdr:rowOff>
                  </from>
                  <to>
                    <xdr:col>6</xdr:col>
                    <xdr:colOff>276225</xdr:colOff>
                    <xdr:row>35</xdr:row>
                    <xdr:rowOff>257175</xdr:rowOff>
                  </to>
                </anchor>
              </controlPr>
            </control>
          </mc:Choice>
        </mc:AlternateContent>
        <mc:AlternateContent xmlns:mc="http://schemas.openxmlformats.org/markup-compatibility/2006">
          <mc:Choice Requires="x14">
            <control shapeId="1090" r:id="rId28" name="Option Button 66">
              <controlPr defaultSize="0" autoFill="0" autoLine="0" autoPict="0">
                <anchor moveWithCells="1">
                  <from>
                    <xdr:col>0</xdr:col>
                    <xdr:colOff>361950</xdr:colOff>
                    <xdr:row>36</xdr:row>
                    <xdr:rowOff>38100</xdr:rowOff>
                  </from>
                  <to>
                    <xdr:col>6</xdr:col>
                    <xdr:colOff>266700</xdr:colOff>
                    <xdr:row>36</xdr:row>
                    <xdr:rowOff>247650</xdr:rowOff>
                  </to>
                </anchor>
              </controlPr>
            </control>
          </mc:Choice>
        </mc:AlternateContent>
        <mc:AlternateContent xmlns:mc="http://schemas.openxmlformats.org/markup-compatibility/2006">
          <mc:Choice Requires="x14">
            <control shapeId="1092" r:id="rId29" name="Option Button 68">
              <controlPr defaultSize="0" autoFill="0" autoLine="0" autoPict="0">
                <anchor moveWithCells="1">
                  <from>
                    <xdr:col>0</xdr:col>
                    <xdr:colOff>361950</xdr:colOff>
                    <xdr:row>37</xdr:row>
                    <xdr:rowOff>19050</xdr:rowOff>
                  </from>
                  <to>
                    <xdr:col>6</xdr:col>
                    <xdr:colOff>276225</xdr:colOff>
                    <xdr:row>37</xdr:row>
                    <xdr:rowOff>219075</xdr:rowOff>
                  </to>
                </anchor>
              </controlPr>
            </control>
          </mc:Choice>
        </mc:AlternateContent>
        <mc:AlternateContent xmlns:mc="http://schemas.openxmlformats.org/markup-compatibility/2006">
          <mc:Choice Requires="x14">
            <control shapeId="1094" r:id="rId30" name="Option Button 70">
              <controlPr defaultSize="0" autoFill="0" autoLine="0" autoPict="0">
                <anchor moveWithCells="1">
                  <from>
                    <xdr:col>0</xdr:col>
                    <xdr:colOff>371475</xdr:colOff>
                    <xdr:row>38</xdr:row>
                    <xdr:rowOff>0</xdr:rowOff>
                  </from>
                  <to>
                    <xdr:col>6</xdr:col>
                    <xdr:colOff>266700</xdr:colOff>
                    <xdr:row>38</xdr:row>
                    <xdr:rowOff>209550</xdr:rowOff>
                  </to>
                </anchor>
              </controlPr>
            </control>
          </mc:Choice>
        </mc:AlternateContent>
        <mc:AlternateContent xmlns:mc="http://schemas.openxmlformats.org/markup-compatibility/2006">
          <mc:Choice Requires="x14">
            <control shapeId="1095" r:id="rId31" name="Option Button 71">
              <controlPr defaultSize="0" autoFill="0" autoLine="0" autoPict="0">
                <anchor moveWithCells="1">
                  <from>
                    <xdr:col>0</xdr:col>
                    <xdr:colOff>361950</xdr:colOff>
                    <xdr:row>45</xdr:row>
                    <xdr:rowOff>66675</xdr:rowOff>
                  </from>
                  <to>
                    <xdr:col>6</xdr:col>
                    <xdr:colOff>228600</xdr:colOff>
                    <xdr:row>46</xdr:row>
                    <xdr:rowOff>9525</xdr:rowOff>
                  </to>
                </anchor>
              </controlPr>
            </control>
          </mc:Choice>
        </mc:AlternateContent>
        <mc:AlternateContent xmlns:mc="http://schemas.openxmlformats.org/markup-compatibility/2006">
          <mc:Choice Requires="x14">
            <control shapeId="1096" r:id="rId32" name="Group Box 72">
              <controlPr defaultSize="0" autoFill="0" autoPict="0">
                <anchor moveWithCells="1">
                  <from>
                    <xdr:col>0</xdr:col>
                    <xdr:colOff>38100</xdr:colOff>
                    <xdr:row>45</xdr:row>
                    <xdr:rowOff>28575</xdr:rowOff>
                  </from>
                  <to>
                    <xdr:col>6</xdr:col>
                    <xdr:colOff>276225</xdr:colOff>
                    <xdr:row>49</xdr:row>
                    <xdr:rowOff>228600</xdr:rowOff>
                  </to>
                </anchor>
              </controlPr>
            </control>
          </mc:Choice>
        </mc:AlternateContent>
        <mc:AlternateContent xmlns:mc="http://schemas.openxmlformats.org/markup-compatibility/2006">
          <mc:Choice Requires="x14">
            <control shapeId="1097" r:id="rId33" name="Option Button 73">
              <controlPr defaultSize="0" autoFill="0" autoLine="0" autoPict="0">
                <anchor moveWithCells="1">
                  <from>
                    <xdr:col>0</xdr:col>
                    <xdr:colOff>361950</xdr:colOff>
                    <xdr:row>46</xdr:row>
                    <xdr:rowOff>57150</xdr:rowOff>
                  </from>
                  <to>
                    <xdr:col>6</xdr:col>
                    <xdr:colOff>238125</xdr:colOff>
                    <xdr:row>47</xdr:row>
                    <xdr:rowOff>0</xdr:rowOff>
                  </to>
                </anchor>
              </controlPr>
            </control>
          </mc:Choice>
        </mc:AlternateContent>
        <mc:AlternateContent xmlns:mc="http://schemas.openxmlformats.org/markup-compatibility/2006">
          <mc:Choice Requires="x14">
            <control shapeId="1098" r:id="rId34" name="Option Button 74">
              <controlPr defaultSize="0" autoFill="0" autoLine="0" autoPict="0">
                <anchor moveWithCells="1">
                  <from>
                    <xdr:col>0</xdr:col>
                    <xdr:colOff>361950</xdr:colOff>
                    <xdr:row>47</xdr:row>
                    <xdr:rowOff>47625</xdr:rowOff>
                  </from>
                  <to>
                    <xdr:col>6</xdr:col>
                    <xdr:colOff>247650</xdr:colOff>
                    <xdr:row>47</xdr:row>
                    <xdr:rowOff>257175</xdr:rowOff>
                  </to>
                </anchor>
              </controlPr>
            </control>
          </mc:Choice>
        </mc:AlternateContent>
        <mc:AlternateContent xmlns:mc="http://schemas.openxmlformats.org/markup-compatibility/2006">
          <mc:Choice Requires="x14">
            <control shapeId="1099" r:id="rId35" name="Option Button 75">
              <controlPr defaultSize="0" autoFill="0" autoLine="0" autoPict="0">
                <anchor moveWithCells="1">
                  <from>
                    <xdr:col>0</xdr:col>
                    <xdr:colOff>361950</xdr:colOff>
                    <xdr:row>48</xdr:row>
                    <xdr:rowOff>38100</xdr:rowOff>
                  </from>
                  <to>
                    <xdr:col>6</xdr:col>
                    <xdr:colOff>238125</xdr:colOff>
                    <xdr:row>48</xdr:row>
                    <xdr:rowOff>238125</xdr:rowOff>
                  </to>
                </anchor>
              </controlPr>
            </control>
          </mc:Choice>
        </mc:AlternateContent>
        <mc:AlternateContent xmlns:mc="http://schemas.openxmlformats.org/markup-compatibility/2006">
          <mc:Choice Requires="x14">
            <control shapeId="1100" r:id="rId36" name="Option Button 76">
              <controlPr defaultSize="0" autoFill="0" autoLine="0" autoPict="0">
                <anchor moveWithCells="1">
                  <from>
                    <xdr:col>0</xdr:col>
                    <xdr:colOff>371475</xdr:colOff>
                    <xdr:row>49</xdr:row>
                    <xdr:rowOff>0</xdr:rowOff>
                  </from>
                  <to>
                    <xdr:col>6</xdr:col>
                    <xdr:colOff>238125</xdr:colOff>
                    <xdr:row>49</xdr:row>
                    <xdr:rowOff>209550</xdr:rowOff>
                  </to>
                </anchor>
              </controlPr>
            </control>
          </mc:Choice>
        </mc:AlternateContent>
        <mc:AlternateContent xmlns:mc="http://schemas.openxmlformats.org/markup-compatibility/2006">
          <mc:Choice Requires="x14">
            <control shapeId="1101" r:id="rId37" name="Option Button 77">
              <controlPr defaultSize="0" autoFill="0" autoLine="0" autoPict="0">
                <anchor moveWithCells="1">
                  <from>
                    <xdr:col>0</xdr:col>
                    <xdr:colOff>361950</xdr:colOff>
                    <xdr:row>54</xdr:row>
                    <xdr:rowOff>76200</xdr:rowOff>
                  </from>
                  <to>
                    <xdr:col>6</xdr:col>
                    <xdr:colOff>238125</xdr:colOff>
                    <xdr:row>55</xdr:row>
                    <xdr:rowOff>19050</xdr:rowOff>
                  </to>
                </anchor>
              </controlPr>
            </control>
          </mc:Choice>
        </mc:AlternateContent>
        <mc:AlternateContent xmlns:mc="http://schemas.openxmlformats.org/markup-compatibility/2006">
          <mc:Choice Requires="x14">
            <control shapeId="1102" r:id="rId38" name="Group Box 78">
              <controlPr defaultSize="0" autoFill="0" autoPict="0">
                <anchor moveWithCells="1">
                  <from>
                    <xdr:col>0</xdr:col>
                    <xdr:colOff>38100</xdr:colOff>
                    <xdr:row>54</xdr:row>
                    <xdr:rowOff>47625</xdr:rowOff>
                  </from>
                  <to>
                    <xdr:col>6</xdr:col>
                    <xdr:colOff>276225</xdr:colOff>
                    <xdr:row>58</xdr:row>
                    <xdr:rowOff>238125</xdr:rowOff>
                  </to>
                </anchor>
              </controlPr>
            </control>
          </mc:Choice>
        </mc:AlternateContent>
        <mc:AlternateContent xmlns:mc="http://schemas.openxmlformats.org/markup-compatibility/2006">
          <mc:Choice Requires="x14">
            <control shapeId="1103" r:id="rId39" name="Option Button 79">
              <controlPr defaultSize="0" autoFill="0" autoLine="0" autoPict="0">
                <anchor moveWithCells="1">
                  <from>
                    <xdr:col>0</xdr:col>
                    <xdr:colOff>361950</xdr:colOff>
                    <xdr:row>55</xdr:row>
                    <xdr:rowOff>57150</xdr:rowOff>
                  </from>
                  <to>
                    <xdr:col>6</xdr:col>
                    <xdr:colOff>238125</xdr:colOff>
                    <xdr:row>56</xdr:row>
                    <xdr:rowOff>0</xdr:rowOff>
                  </to>
                </anchor>
              </controlPr>
            </control>
          </mc:Choice>
        </mc:AlternateContent>
        <mc:AlternateContent xmlns:mc="http://schemas.openxmlformats.org/markup-compatibility/2006">
          <mc:Choice Requires="x14">
            <control shapeId="1104" r:id="rId40" name="Option Button 80">
              <controlPr defaultSize="0" autoFill="0" autoLine="0" autoPict="0">
                <anchor moveWithCells="1">
                  <from>
                    <xdr:col>0</xdr:col>
                    <xdr:colOff>361950</xdr:colOff>
                    <xdr:row>56</xdr:row>
                    <xdr:rowOff>28575</xdr:rowOff>
                  </from>
                  <to>
                    <xdr:col>6</xdr:col>
                    <xdr:colOff>247650</xdr:colOff>
                    <xdr:row>56</xdr:row>
                    <xdr:rowOff>238125</xdr:rowOff>
                  </to>
                </anchor>
              </controlPr>
            </control>
          </mc:Choice>
        </mc:AlternateContent>
        <mc:AlternateContent xmlns:mc="http://schemas.openxmlformats.org/markup-compatibility/2006">
          <mc:Choice Requires="x14">
            <control shapeId="1105" r:id="rId41" name="Option Button 81">
              <controlPr defaultSize="0" autoFill="0" autoLine="0" autoPict="0">
                <anchor moveWithCells="1">
                  <from>
                    <xdr:col>0</xdr:col>
                    <xdr:colOff>361950</xdr:colOff>
                    <xdr:row>57</xdr:row>
                    <xdr:rowOff>9525</xdr:rowOff>
                  </from>
                  <to>
                    <xdr:col>6</xdr:col>
                    <xdr:colOff>238125</xdr:colOff>
                    <xdr:row>57</xdr:row>
                    <xdr:rowOff>209550</xdr:rowOff>
                  </to>
                </anchor>
              </controlPr>
            </control>
          </mc:Choice>
        </mc:AlternateContent>
        <mc:AlternateContent xmlns:mc="http://schemas.openxmlformats.org/markup-compatibility/2006">
          <mc:Choice Requires="x14">
            <control shapeId="1106" r:id="rId42" name="Option Button 82">
              <controlPr defaultSize="0" autoFill="0" autoLine="0" autoPict="0">
                <anchor moveWithCells="1">
                  <from>
                    <xdr:col>0</xdr:col>
                    <xdr:colOff>361950</xdr:colOff>
                    <xdr:row>57</xdr:row>
                    <xdr:rowOff>257175</xdr:rowOff>
                  </from>
                  <to>
                    <xdr:col>6</xdr:col>
                    <xdr:colOff>238125</xdr:colOff>
                    <xdr:row>58</xdr:row>
                    <xdr:rowOff>200025</xdr:rowOff>
                  </to>
                </anchor>
              </controlPr>
            </control>
          </mc:Choice>
        </mc:AlternateContent>
        <mc:AlternateContent xmlns:mc="http://schemas.openxmlformats.org/markup-compatibility/2006">
          <mc:Choice Requires="x14">
            <control shapeId="1108" r:id="rId43" name="Group Box 84">
              <controlPr defaultSize="0" autoFill="0" autoPict="0">
                <anchor moveWithCells="1">
                  <from>
                    <xdr:col>0</xdr:col>
                    <xdr:colOff>666750</xdr:colOff>
                    <xdr:row>69</xdr:row>
                    <xdr:rowOff>47625</xdr:rowOff>
                  </from>
                  <to>
                    <xdr:col>4</xdr:col>
                    <xdr:colOff>523875</xdr:colOff>
                    <xdr:row>74</xdr:row>
                    <xdr:rowOff>228600</xdr:rowOff>
                  </to>
                </anchor>
              </controlPr>
            </control>
          </mc:Choice>
        </mc:AlternateContent>
        <mc:AlternateContent xmlns:mc="http://schemas.openxmlformats.org/markup-compatibility/2006">
          <mc:Choice Requires="x14">
            <control shapeId="1109" r:id="rId44" name="Option Button 85">
              <controlPr defaultSize="0" autoFill="0" autoLine="0" autoPict="0">
                <anchor moveWithCells="1">
                  <from>
                    <xdr:col>0</xdr:col>
                    <xdr:colOff>904875</xdr:colOff>
                    <xdr:row>69</xdr:row>
                    <xdr:rowOff>85725</xdr:rowOff>
                  </from>
                  <to>
                    <xdr:col>4</xdr:col>
                    <xdr:colOff>457200</xdr:colOff>
                    <xdr:row>70</xdr:row>
                    <xdr:rowOff>28575</xdr:rowOff>
                  </to>
                </anchor>
              </controlPr>
            </control>
          </mc:Choice>
        </mc:AlternateContent>
        <mc:AlternateContent xmlns:mc="http://schemas.openxmlformats.org/markup-compatibility/2006">
          <mc:Choice Requires="x14">
            <control shapeId="1110" r:id="rId45" name="Option Button 86">
              <controlPr defaultSize="0" autoFill="0" autoLine="0" autoPict="0">
                <anchor moveWithCells="1">
                  <from>
                    <xdr:col>0</xdr:col>
                    <xdr:colOff>895350</xdr:colOff>
                    <xdr:row>70</xdr:row>
                    <xdr:rowOff>66675</xdr:rowOff>
                  </from>
                  <to>
                    <xdr:col>4</xdr:col>
                    <xdr:colOff>457200</xdr:colOff>
                    <xdr:row>71</xdr:row>
                    <xdr:rowOff>9525</xdr:rowOff>
                  </to>
                </anchor>
              </controlPr>
            </control>
          </mc:Choice>
        </mc:AlternateContent>
        <mc:AlternateContent xmlns:mc="http://schemas.openxmlformats.org/markup-compatibility/2006">
          <mc:Choice Requires="x14">
            <control shapeId="1111" r:id="rId46" name="Option Button 87">
              <controlPr defaultSize="0" autoFill="0" autoLine="0" autoPict="0">
                <anchor moveWithCells="1">
                  <from>
                    <xdr:col>0</xdr:col>
                    <xdr:colOff>895350</xdr:colOff>
                    <xdr:row>71</xdr:row>
                    <xdr:rowOff>47625</xdr:rowOff>
                  </from>
                  <to>
                    <xdr:col>4</xdr:col>
                    <xdr:colOff>447675</xdr:colOff>
                    <xdr:row>71</xdr:row>
                    <xdr:rowOff>257175</xdr:rowOff>
                  </to>
                </anchor>
              </controlPr>
            </control>
          </mc:Choice>
        </mc:AlternateContent>
        <mc:AlternateContent xmlns:mc="http://schemas.openxmlformats.org/markup-compatibility/2006">
          <mc:Choice Requires="x14">
            <control shapeId="1112" r:id="rId47" name="Option Button 88">
              <controlPr defaultSize="0" autoFill="0" autoLine="0" autoPict="0">
                <anchor moveWithCells="1">
                  <from>
                    <xdr:col>0</xdr:col>
                    <xdr:colOff>885825</xdr:colOff>
                    <xdr:row>72</xdr:row>
                    <xdr:rowOff>28575</xdr:rowOff>
                  </from>
                  <to>
                    <xdr:col>4</xdr:col>
                    <xdr:colOff>447675</xdr:colOff>
                    <xdr:row>72</xdr:row>
                    <xdr:rowOff>228600</xdr:rowOff>
                  </to>
                </anchor>
              </controlPr>
            </control>
          </mc:Choice>
        </mc:AlternateContent>
        <mc:AlternateContent xmlns:mc="http://schemas.openxmlformats.org/markup-compatibility/2006">
          <mc:Choice Requires="x14">
            <control shapeId="1113" r:id="rId48" name="Option Button 89">
              <controlPr defaultSize="0" autoFill="0" autoLine="0" autoPict="0">
                <anchor moveWithCells="1">
                  <from>
                    <xdr:col>0</xdr:col>
                    <xdr:colOff>895350</xdr:colOff>
                    <xdr:row>73</xdr:row>
                    <xdr:rowOff>9525</xdr:rowOff>
                  </from>
                  <to>
                    <xdr:col>4</xdr:col>
                    <xdr:colOff>457200</xdr:colOff>
                    <xdr:row>73</xdr:row>
                    <xdr:rowOff>209550</xdr:rowOff>
                  </to>
                </anchor>
              </controlPr>
            </control>
          </mc:Choice>
        </mc:AlternateContent>
        <mc:AlternateContent xmlns:mc="http://schemas.openxmlformats.org/markup-compatibility/2006">
          <mc:Choice Requires="x14">
            <control shapeId="1114" r:id="rId49" name="Option Button 90">
              <controlPr defaultSize="0" autoFill="0" autoLine="0" autoPict="0">
                <anchor moveWithCells="1">
                  <from>
                    <xdr:col>0</xdr:col>
                    <xdr:colOff>895350</xdr:colOff>
                    <xdr:row>73</xdr:row>
                    <xdr:rowOff>257175</xdr:rowOff>
                  </from>
                  <to>
                    <xdr:col>4</xdr:col>
                    <xdr:colOff>457200</xdr:colOff>
                    <xdr:row>74</xdr:row>
                    <xdr:rowOff>190500</xdr:rowOff>
                  </to>
                </anchor>
              </controlPr>
            </control>
          </mc:Choice>
        </mc:AlternateContent>
        <mc:AlternateContent xmlns:mc="http://schemas.openxmlformats.org/markup-compatibility/2006">
          <mc:Choice Requires="x14">
            <control shapeId="1125" r:id="rId50" name="Group Box 101">
              <controlPr defaultSize="0" autoFill="0" autoPict="0">
                <anchor moveWithCells="1">
                  <from>
                    <xdr:col>2</xdr:col>
                    <xdr:colOff>19050</xdr:colOff>
                    <xdr:row>97</xdr:row>
                    <xdr:rowOff>47625</xdr:rowOff>
                  </from>
                  <to>
                    <xdr:col>2</xdr:col>
                    <xdr:colOff>1057275</xdr:colOff>
                    <xdr:row>97</xdr:row>
                    <xdr:rowOff>247650</xdr:rowOff>
                  </to>
                </anchor>
              </controlPr>
            </control>
          </mc:Choice>
        </mc:AlternateContent>
        <mc:AlternateContent xmlns:mc="http://schemas.openxmlformats.org/markup-compatibility/2006">
          <mc:Choice Requires="x14">
            <control shapeId="1126" r:id="rId51" name="Group Box 102">
              <controlPr defaultSize="0" autoFill="0" autoPict="0">
                <anchor moveWithCells="1">
                  <from>
                    <xdr:col>3</xdr:col>
                    <xdr:colOff>9525</xdr:colOff>
                    <xdr:row>97</xdr:row>
                    <xdr:rowOff>38100</xdr:rowOff>
                  </from>
                  <to>
                    <xdr:col>4</xdr:col>
                    <xdr:colOff>590550</xdr:colOff>
                    <xdr:row>97</xdr:row>
                    <xdr:rowOff>238125</xdr:rowOff>
                  </to>
                </anchor>
              </controlPr>
            </control>
          </mc:Choice>
        </mc:AlternateContent>
        <mc:AlternateContent xmlns:mc="http://schemas.openxmlformats.org/markup-compatibility/2006">
          <mc:Choice Requires="x14">
            <control shapeId="1129" r:id="rId52" name="Option Button 105">
              <controlPr defaultSize="0" autoFill="0" autoLine="0" autoPict="0">
                <anchor moveWithCells="1">
                  <from>
                    <xdr:col>2</xdr:col>
                    <xdr:colOff>76200</xdr:colOff>
                    <xdr:row>97</xdr:row>
                    <xdr:rowOff>66675</xdr:rowOff>
                  </from>
                  <to>
                    <xdr:col>2</xdr:col>
                    <xdr:colOff>438150</xdr:colOff>
                    <xdr:row>97</xdr:row>
                    <xdr:rowOff>209550</xdr:rowOff>
                  </to>
                </anchor>
              </controlPr>
            </control>
          </mc:Choice>
        </mc:AlternateContent>
        <mc:AlternateContent xmlns:mc="http://schemas.openxmlformats.org/markup-compatibility/2006">
          <mc:Choice Requires="x14">
            <control shapeId="1130" r:id="rId53" name="Option Button 106">
              <controlPr defaultSize="0" autoFill="0" autoLine="0" autoPict="0">
                <anchor moveWithCells="1">
                  <from>
                    <xdr:col>2</xdr:col>
                    <xdr:colOff>581025</xdr:colOff>
                    <xdr:row>97</xdr:row>
                    <xdr:rowOff>66675</xdr:rowOff>
                  </from>
                  <to>
                    <xdr:col>2</xdr:col>
                    <xdr:colOff>1009650</xdr:colOff>
                    <xdr:row>97</xdr:row>
                    <xdr:rowOff>209550</xdr:rowOff>
                  </to>
                </anchor>
              </controlPr>
            </control>
          </mc:Choice>
        </mc:AlternateContent>
        <mc:AlternateContent xmlns:mc="http://schemas.openxmlformats.org/markup-compatibility/2006">
          <mc:Choice Requires="x14">
            <control shapeId="1131" r:id="rId54" name="Option Button 107">
              <controlPr defaultSize="0" autoFill="0" autoLine="0" autoPict="0">
                <anchor moveWithCells="1">
                  <from>
                    <xdr:col>3</xdr:col>
                    <xdr:colOff>66675</xdr:colOff>
                    <xdr:row>97</xdr:row>
                    <xdr:rowOff>57150</xdr:rowOff>
                  </from>
                  <to>
                    <xdr:col>3</xdr:col>
                    <xdr:colOff>428625</xdr:colOff>
                    <xdr:row>97</xdr:row>
                    <xdr:rowOff>209550</xdr:rowOff>
                  </to>
                </anchor>
              </controlPr>
            </control>
          </mc:Choice>
        </mc:AlternateContent>
        <mc:AlternateContent xmlns:mc="http://schemas.openxmlformats.org/markup-compatibility/2006">
          <mc:Choice Requires="x14">
            <control shapeId="1132" r:id="rId55" name="Option Button 108">
              <controlPr defaultSize="0" autoFill="0" autoLine="0" autoPict="0">
                <anchor moveWithCells="1">
                  <from>
                    <xdr:col>4</xdr:col>
                    <xdr:colOff>133350</xdr:colOff>
                    <xdr:row>97</xdr:row>
                    <xdr:rowOff>57150</xdr:rowOff>
                  </from>
                  <to>
                    <xdr:col>4</xdr:col>
                    <xdr:colOff>561975</xdr:colOff>
                    <xdr:row>97</xdr:row>
                    <xdr:rowOff>209550</xdr:rowOff>
                  </to>
                </anchor>
              </controlPr>
            </control>
          </mc:Choice>
        </mc:AlternateContent>
        <mc:AlternateContent xmlns:mc="http://schemas.openxmlformats.org/markup-compatibility/2006">
          <mc:Choice Requires="x14">
            <control shapeId="1133" r:id="rId56" name="Keuzerondje 2">
              <controlPr defaultSize="0" autoFill="0" autoLine="0" autoPict="0">
                <anchor moveWithCells="1">
                  <from>
                    <xdr:col>0</xdr:col>
                    <xdr:colOff>352425</xdr:colOff>
                    <xdr:row>18</xdr:row>
                    <xdr:rowOff>57150</xdr:rowOff>
                  </from>
                  <to>
                    <xdr:col>1</xdr:col>
                    <xdr:colOff>962025</xdr:colOff>
                    <xdr:row>19</xdr:row>
                    <xdr:rowOff>9525</xdr:rowOff>
                  </to>
                </anchor>
              </controlPr>
            </control>
          </mc:Choice>
        </mc:AlternateContent>
        <mc:AlternateContent xmlns:mc="http://schemas.openxmlformats.org/markup-compatibility/2006">
          <mc:Choice Requires="x14">
            <control shapeId="1134" r:id="rId57" name="Keuzerondje 3">
              <controlPr defaultSize="0" autoFill="0" autoLine="0" autoPict="0">
                <anchor moveWithCells="1">
                  <from>
                    <xdr:col>0</xdr:col>
                    <xdr:colOff>352425</xdr:colOff>
                    <xdr:row>19</xdr:row>
                    <xdr:rowOff>28575</xdr:rowOff>
                  </from>
                  <to>
                    <xdr:col>1</xdr:col>
                    <xdr:colOff>962025</xdr:colOff>
                    <xdr:row>19</xdr:row>
                    <xdr:rowOff>247650</xdr:rowOff>
                  </to>
                </anchor>
              </controlPr>
            </control>
          </mc:Choice>
        </mc:AlternateContent>
        <mc:AlternateContent xmlns:mc="http://schemas.openxmlformats.org/markup-compatibility/2006">
          <mc:Choice Requires="x14">
            <control shapeId="1135" r:id="rId58" name="Keuzerondje 1">
              <controlPr defaultSize="0" autoFill="0" autoLine="0" autoPict="0" altText="€  100.000.000 t/m € 150.000.000">
                <anchor moveWithCells="1">
                  <from>
                    <xdr:col>0</xdr:col>
                    <xdr:colOff>352425</xdr:colOff>
                    <xdr:row>20</xdr:row>
                    <xdr:rowOff>9525</xdr:rowOff>
                  </from>
                  <to>
                    <xdr:col>1</xdr:col>
                    <xdr:colOff>962025</xdr:colOff>
                    <xdr:row>20</xdr:row>
                    <xdr:rowOff>228600</xdr:rowOff>
                  </to>
                </anchor>
              </controlPr>
            </control>
          </mc:Choice>
        </mc:AlternateContent>
        <mc:AlternateContent xmlns:mc="http://schemas.openxmlformats.org/markup-compatibility/2006">
          <mc:Choice Requires="x14">
            <control shapeId="1137" r:id="rId59" name="Group Box 113">
              <controlPr defaultSize="0" autoFill="0" autoPict="0">
                <anchor moveWithCells="1">
                  <from>
                    <xdr:col>0</xdr:col>
                    <xdr:colOff>28575</xdr:colOff>
                    <xdr:row>18</xdr:row>
                    <xdr:rowOff>38100</xdr:rowOff>
                  </from>
                  <to>
                    <xdr:col>1</xdr:col>
                    <xdr:colOff>990600</xdr:colOff>
                    <xdr:row>21</xdr:row>
                    <xdr:rowOff>238125</xdr:rowOff>
                  </to>
                </anchor>
              </controlPr>
            </control>
          </mc:Choice>
        </mc:AlternateContent>
        <mc:AlternateContent xmlns:mc="http://schemas.openxmlformats.org/markup-compatibility/2006">
          <mc:Choice Requires="x14">
            <control shapeId="1138" r:id="rId60" name="Option Button 114">
              <controlPr defaultSize="0" autoFill="0" autoLine="0" autoPict="0">
                <anchor moveWithCells="1">
                  <from>
                    <xdr:col>2</xdr:col>
                    <xdr:colOff>571500</xdr:colOff>
                    <xdr:row>18</xdr:row>
                    <xdr:rowOff>76200</xdr:rowOff>
                  </from>
                  <to>
                    <xdr:col>6</xdr:col>
                    <xdr:colOff>276225</xdr:colOff>
                    <xdr:row>19</xdr:row>
                    <xdr:rowOff>0</xdr:rowOff>
                  </to>
                </anchor>
              </controlPr>
            </control>
          </mc:Choice>
        </mc:AlternateContent>
        <mc:AlternateContent xmlns:mc="http://schemas.openxmlformats.org/markup-compatibility/2006">
          <mc:Choice Requires="x14">
            <control shapeId="1139" r:id="rId61" name="Option Button 115">
              <controlPr defaultSize="0" autoFill="0" autoLine="0" autoPict="0">
                <anchor moveWithCells="1">
                  <from>
                    <xdr:col>2</xdr:col>
                    <xdr:colOff>571500</xdr:colOff>
                    <xdr:row>19</xdr:row>
                    <xdr:rowOff>38100</xdr:rowOff>
                  </from>
                  <to>
                    <xdr:col>6</xdr:col>
                    <xdr:colOff>276225</xdr:colOff>
                    <xdr:row>19</xdr:row>
                    <xdr:rowOff>228600</xdr:rowOff>
                  </to>
                </anchor>
              </controlPr>
            </control>
          </mc:Choice>
        </mc:AlternateContent>
        <mc:AlternateContent xmlns:mc="http://schemas.openxmlformats.org/markup-compatibility/2006">
          <mc:Choice Requires="x14">
            <control shapeId="1140" r:id="rId62" name="Option Button 116">
              <controlPr defaultSize="0" autoFill="0" autoLine="0" autoPict="0">
                <anchor moveWithCells="1">
                  <from>
                    <xdr:col>2</xdr:col>
                    <xdr:colOff>571500</xdr:colOff>
                    <xdr:row>20</xdr:row>
                    <xdr:rowOff>9525</xdr:rowOff>
                  </from>
                  <to>
                    <xdr:col>6</xdr:col>
                    <xdr:colOff>276225</xdr:colOff>
                    <xdr:row>20</xdr:row>
                    <xdr:rowOff>219075</xdr:rowOff>
                  </to>
                </anchor>
              </controlPr>
            </control>
          </mc:Choice>
        </mc:AlternateContent>
        <mc:AlternateContent xmlns:mc="http://schemas.openxmlformats.org/markup-compatibility/2006">
          <mc:Choice Requires="x14">
            <control shapeId="1141" r:id="rId63" name="Group Box 117">
              <controlPr defaultSize="0" autoFill="0" autoPict="0">
                <anchor moveWithCells="1">
                  <from>
                    <xdr:col>2</xdr:col>
                    <xdr:colOff>38100</xdr:colOff>
                    <xdr:row>18</xdr:row>
                    <xdr:rowOff>38100</xdr:rowOff>
                  </from>
                  <to>
                    <xdr:col>6</xdr:col>
                    <xdr:colOff>304800</xdr:colOff>
                    <xdr:row>20</xdr:row>
                    <xdr:rowOff>238125</xdr:rowOff>
                  </to>
                </anchor>
              </controlPr>
            </control>
          </mc:Choice>
        </mc:AlternateContent>
        <mc:AlternateContent xmlns:mc="http://schemas.openxmlformats.org/markup-compatibility/2006">
          <mc:Choice Requires="x14">
            <control shapeId="1145" r:id="rId64" name="Option Button 121">
              <controlPr defaultSize="0" autoFill="0" autoLine="0" autoPict="0" altText="€  100.000.000 t/m € 150.000.000">
                <anchor moveWithCells="1">
                  <from>
                    <xdr:col>0</xdr:col>
                    <xdr:colOff>352425</xdr:colOff>
                    <xdr:row>20</xdr:row>
                    <xdr:rowOff>257175</xdr:rowOff>
                  </from>
                  <to>
                    <xdr:col>1</xdr:col>
                    <xdr:colOff>962025</xdr:colOff>
                    <xdr:row>21</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H42"/>
  <sheetViews>
    <sheetView showGridLines="0" showRowColHeaders="0" showRuler="0" view="pageLayout" zoomScaleNormal="100" workbookViewId="0">
      <selection activeCell="B41" sqref="B41"/>
    </sheetView>
  </sheetViews>
  <sheetFormatPr defaultRowHeight="12.75" x14ac:dyDescent="0.2"/>
  <cols>
    <col min="1" max="1" width="3.5703125" customWidth="1"/>
    <col min="2" max="2" width="16.140625" customWidth="1"/>
    <col min="3" max="6" width="12.5703125" customWidth="1"/>
    <col min="7" max="7" width="14.85546875" customWidth="1"/>
    <col min="8" max="8" width="9.5703125" customWidth="1"/>
  </cols>
  <sheetData>
    <row r="1" spans="1:8" ht="13.5" customHeight="1" x14ac:dyDescent="0.2">
      <c r="B1" s="104"/>
      <c r="C1" s="90"/>
      <c r="D1" s="90"/>
      <c r="E1" s="90"/>
      <c r="F1" s="90"/>
      <c r="G1" s="90"/>
      <c r="H1" s="90"/>
    </row>
    <row r="2" spans="1:8" ht="13.5" customHeight="1" x14ac:dyDescent="0.2">
      <c r="B2" s="104" t="str">
        <f>IF('BSD tabellen'!P19="","Richtlijn referentie",'BSD tabellen'!P19)</f>
        <v>Richtlijn Directiebeloning november 2020</v>
      </c>
      <c r="C2" s="104"/>
      <c r="D2" s="104"/>
      <c r="E2" s="104"/>
      <c r="F2" s="104"/>
      <c r="G2" s="104"/>
      <c r="H2" s="104"/>
    </row>
    <row r="3" spans="1:8" ht="23.25" customHeight="1" x14ac:dyDescent="0.2">
      <c r="A3" s="90" t="str">
        <f>IF('BSD tabellen'!P20="","precisering",'BSD tabellen'!P20)</f>
        <v>inclusief aanhangsels 1 t/m 5</v>
      </c>
      <c r="B3" s="90"/>
      <c r="C3" s="90"/>
      <c r="D3" s="90"/>
      <c r="E3" s="90"/>
      <c r="F3" s="90"/>
      <c r="G3" s="90"/>
      <c r="H3" s="90"/>
    </row>
    <row r="4" spans="1:8" ht="18.75" x14ac:dyDescent="0.3">
      <c r="B4" s="36" t="s">
        <v>91</v>
      </c>
    </row>
    <row r="5" spans="1:8" ht="24.75" customHeight="1" x14ac:dyDescent="0.2">
      <c r="B5" s="103" t="str">
        <f>IF(Invulling!B4="","",Invulling!B4)</f>
        <v/>
      </c>
      <c r="C5" s="103"/>
      <c r="D5" s="103"/>
      <c r="E5" s="103"/>
      <c r="F5" s="103"/>
      <c r="G5" s="103"/>
      <c r="H5" s="103"/>
    </row>
    <row r="6" spans="1:8" x14ac:dyDescent="0.2">
      <c r="B6" s="95" t="str">
        <f>IF(Invulling!B4&lt;&gt;"","","De naam van uw organisatie moet nog worden ingevuld.")</f>
        <v>De naam van uw organisatie moet nog worden ingevuld.</v>
      </c>
      <c r="C6" s="95"/>
      <c r="D6" s="95"/>
      <c r="E6" s="95"/>
      <c r="F6" s="95"/>
      <c r="G6" s="95"/>
      <c r="H6" s="95"/>
    </row>
    <row r="7" spans="1:8" ht="24.75" customHeight="1" x14ac:dyDescent="0.2">
      <c r="B7" s="103" t="str">
        <f>IF(OR(Boekjaar_aanvang="",Boekjaar_einde=""),"","over boekjaar "&amp;TEXT(Boekjaar_aanvang,"jjjj-mm")&amp;" t/m "&amp;TEXT(Boekjaar_einde,"jjjj-mm"))</f>
        <v/>
      </c>
      <c r="C7" s="103"/>
      <c r="D7" s="103"/>
      <c r="E7" s="103"/>
      <c r="F7" s="103"/>
      <c r="G7" s="103"/>
      <c r="H7" s="103"/>
    </row>
    <row r="8" spans="1:8" x14ac:dyDescent="0.2">
      <c r="B8" s="95" t="str">
        <f>IF(OR(Boekjaar_aanvang="",Boekjaar_einde=""),"De verslagperiode moet nog worden ingevuld.","")</f>
        <v>De verslagperiode moet nog worden ingevuld.</v>
      </c>
      <c r="C8" s="95"/>
      <c r="D8" s="95"/>
      <c r="E8" s="95"/>
      <c r="F8" s="95"/>
      <c r="G8" s="95"/>
      <c r="H8" s="95"/>
    </row>
    <row r="9" spans="1:8" ht="18.75" x14ac:dyDescent="0.3">
      <c r="B9" s="36" t="s">
        <v>73</v>
      </c>
    </row>
    <row r="10" spans="1:8" ht="30.75" customHeight="1" x14ac:dyDescent="0.2">
      <c r="B10" s="103" t="str">
        <f>IF(Geaccordeerd_door="","",Geaccordeerd_door)&amp;IF(Datum_akkoord="","",IF(Geaccordeerd_door="","",", ")&amp;TEXT(Datum_akkoord,"d mmmm jjjj"))</f>
        <v/>
      </c>
      <c r="C10" s="103"/>
      <c r="D10" s="103"/>
      <c r="E10" s="103"/>
      <c r="F10" s="103"/>
      <c r="G10" s="103"/>
      <c r="H10" s="103"/>
    </row>
    <row r="11" spans="1:8" x14ac:dyDescent="0.2">
      <c r="B11" s="95" t="str">
        <f>IF(Invulling!B6&lt;&gt;"","","Het bevoegd gezag moet dit nog voor akkoord bevestigen.")</f>
        <v>Het bevoegd gezag moet dit nog voor akkoord bevestigen.</v>
      </c>
      <c r="C11" s="95"/>
      <c r="D11" s="95"/>
      <c r="E11" s="95"/>
      <c r="F11" s="95"/>
      <c r="G11" s="95"/>
      <c r="H11" s="95"/>
    </row>
    <row r="12" spans="1:8" x14ac:dyDescent="0.2">
      <c r="B12" s="95" t="str">
        <f>IF(Invulling!B7&lt;&gt;"","","De datum van akkoordverlening moet nog worden ingevuld.")</f>
        <v>De datum van akkoordverlening moet nog worden ingevuld.</v>
      </c>
      <c r="C12" s="95"/>
      <c r="D12" s="95"/>
      <c r="E12" s="95"/>
      <c r="F12" s="95"/>
      <c r="G12" s="95"/>
      <c r="H12" s="95"/>
    </row>
    <row r="14" spans="1:8" ht="18.75" x14ac:dyDescent="0.3">
      <c r="B14" s="36" t="s">
        <v>74</v>
      </c>
    </row>
    <row r="15" spans="1:8" ht="21" x14ac:dyDescent="0.35">
      <c r="C15" s="25" t="s">
        <v>102</v>
      </c>
      <c r="D15" s="37">
        <f>IF(SUM(Invulling!H16)=0,'BSD tabellen'!C3,SUM(Invulling!H16))</f>
        <v>55</v>
      </c>
      <c r="E15" s="106" t="str">
        <f>IF(Omvang_Fin_BSD="","Let op: 'Omvang Omzet' is nog niet ingevuld","")</f>
        <v>Let op: 'Omvang Omzet' is nog niet ingevuld</v>
      </c>
      <c r="F15" s="106"/>
      <c r="G15" s="106"/>
      <c r="H15" s="106"/>
    </row>
    <row r="16" spans="1:8" ht="21" x14ac:dyDescent="0.35">
      <c r="C16" s="25" t="s">
        <v>101</v>
      </c>
      <c r="D16" s="37">
        <f>IF(SUM(Invulling!H21)=0,'BSD tabellen'!G3,SUM(Invulling!H21))</f>
        <v>5</v>
      </c>
      <c r="E16" s="106" t="str">
        <f>IF(Omvang_Fin_Fds_BSD="","Let op: 'Omvang Vermogen' is nog niet ingevuld","")</f>
        <v>Let op: 'Omvang Vermogen' is nog niet ingevuld</v>
      </c>
      <c r="F16" s="106"/>
      <c r="G16" s="106"/>
      <c r="H16" s="106"/>
    </row>
    <row r="17" spans="2:8" ht="21" x14ac:dyDescent="0.35">
      <c r="C17" s="25" t="s">
        <v>78</v>
      </c>
      <c r="D17" s="38">
        <f>IF(SUM(Invulling!H26)=0,'BSD tabellen'!K3,SUM(Invulling!H26))</f>
        <v>30</v>
      </c>
      <c r="E17" s="106" t="str">
        <f>IF(Omvang_FTE_BSD="","Let op: 'Omvang Personeel' is nog niet ingevuld","")</f>
        <v>Let op: 'Omvang Personeel' is nog niet ingevuld</v>
      </c>
      <c r="F17" s="106"/>
      <c r="G17" s="106"/>
      <c r="H17" s="106"/>
    </row>
    <row r="18" spans="2:8" ht="21" x14ac:dyDescent="0.35">
      <c r="C18" s="25" t="s">
        <v>75</v>
      </c>
      <c r="D18" s="39">
        <f>IF(SUM(Invulling!H36)=0,'BSD tabellen'!V2,SUM(Invulling!H36))</f>
        <v>55</v>
      </c>
      <c r="E18" s="106" t="str">
        <f>IF(Complexiteit_BSD="","Let op: 'Complexiteit' is nog niet ingevuld","")</f>
        <v>Let op: 'Complexiteit' is nog niet ingevuld</v>
      </c>
      <c r="F18" s="106"/>
      <c r="G18" s="106"/>
      <c r="H18" s="106"/>
    </row>
    <row r="19" spans="2:8" ht="21" x14ac:dyDescent="0.35">
      <c r="C19" s="25" t="s">
        <v>76</v>
      </c>
      <c r="D19" s="40">
        <f>IF(SUM(Invulling!H47)=0,'BSD tabellen'!Y2,SUM(Invulling!H47))</f>
        <v>30</v>
      </c>
      <c r="E19" s="106" t="str">
        <f>IF(Context_Aansturing_BSD="","Let op: 'Context Aansturing' is nog niet ingevuld","")</f>
        <v>Let op: 'Context Aansturing' is nog niet ingevuld</v>
      </c>
      <c r="F19" s="106"/>
      <c r="G19" s="106"/>
      <c r="H19" s="106"/>
    </row>
    <row r="20" spans="2:8" ht="21" x14ac:dyDescent="0.35">
      <c r="C20" s="25" t="s">
        <v>77</v>
      </c>
      <c r="D20" s="41">
        <f>IF(SUM(Invulling!H56)=0,'BSD tabellen'!Z2,SUM(Invulling!H56))</f>
        <v>30</v>
      </c>
      <c r="E20" s="106" t="str">
        <f>IF(Context_Rol_BSD="","Let op: 'Context Rolverdeling' is nog niet ingevuld","")</f>
        <v>Let op: 'Context Rolverdeling' is nog niet ingevuld</v>
      </c>
      <c r="F20" s="106"/>
      <c r="G20" s="106"/>
      <c r="H20" s="106"/>
    </row>
    <row r="22" spans="2:8" ht="21" x14ac:dyDescent="0.35">
      <c r="C22" s="25" t="s">
        <v>119</v>
      </c>
      <c r="D22" s="27">
        <f>SUM(D15:D20)</f>
        <v>205</v>
      </c>
      <c r="E22" s="106" t="str">
        <f>IF(OR(Omvang_Fin_BSD="",Omvang_Fin_Fds_BSD="",Omvang_FTE_BSD="",Complexiteit_BSD="",Context_Aansturing_BSD="",Context_Rol_BSD=""),"Let op dit is (op onderdelen) de minimum modelscore.","")</f>
        <v>Let op dit is (op onderdelen) de minimum modelscore.</v>
      </c>
      <c r="F22" s="106"/>
      <c r="G22" s="106"/>
      <c r="H22" s="106"/>
    </row>
    <row r="25" spans="2:8" ht="18.75" x14ac:dyDescent="0.3">
      <c r="B25" s="36" t="s">
        <v>79</v>
      </c>
    </row>
    <row r="26" spans="2:8" ht="23.25" customHeight="1" x14ac:dyDescent="0.2">
      <c r="B26" s="107" t="str">
        <f>IF(OR(Directie_Model&lt;1,Directie_Model&gt;6),"Het directiemodel is nog niet ingevuld.",IF(Directie_Model=1,"Eénhoofdige directie",IF(OR(Directie_Model=2,Directie_Model=3),"Tweehoofdige directie","Meervoudige directie")))</f>
        <v>Eénhoofdige directie</v>
      </c>
      <c r="C26" s="107"/>
      <c r="D26" s="107"/>
      <c r="E26" s="107"/>
      <c r="F26" s="107"/>
      <c r="G26" s="63" t="s">
        <v>95</v>
      </c>
      <c r="H26" s="62" t="s">
        <v>96</v>
      </c>
    </row>
    <row r="27" spans="2:8" ht="21" x14ac:dyDescent="0.35">
      <c r="B27" s="25" t="str">
        <f>IF(Invulling!$F$70&lt;&gt;"",Invulling!$F$70,IF(Invulling!$F$71&lt;&gt;"",Invulling!$F$71,IF(Invulling!$F$73&lt;&gt;"",Invulling!$F$73,"")))</f>
        <v>geen reductie:</v>
      </c>
      <c r="C27" s="42" t="str">
        <f>IF(Invulling!$F$70&lt;&gt;"","",IF(Invulling!$F$71&lt;&gt;"",Invulling!$G$71,IF(Invulling!$F$73&lt;&gt;"",Invulling!$G$73,"")))</f>
        <v/>
      </c>
      <c r="D27" t="str">
        <f>IF(Invulling!$F$70&lt;&gt;"","",IF(Invulling!$F$71&lt;&gt;"","resteert:",IF(Invulling!$F$73&lt;&gt;"","resteert:","")))</f>
        <v/>
      </c>
      <c r="E27" s="30">
        <f>IF(Invulling!$F$70&lt;&gt;"",Invulling!$H$70,IF(Invulling!$F$71&lt;&gt;"",Invulling!$H$71,IF(Invulling!$F$73&lt;&gt;"",Invulling!$H$73,"")))</f>
        <v>0</v>
      </c>
      <c r="F27" s="25" t="str">
        <f>IF(B27&lt;&gt;"","max beloning","")</f>
        <v>max beloning</v>
      </c>
      <c r="G27" s="43">
        <f>IF(B27&lt;&gt;"",INDEX('BSD tabellen'!R$2:R$9,MATCH(E27,'BSD tabellen'!O$2:O$9,1)),"")</f>
        <v>77478</v>
      </c>
      <c r="H27" s="44" t="str">
        <f>IF(B27&lt;&gt;"",INDEX('BSD tabellen'!S$2:S$9,MATCH(E27,'BSD tabellen'!O$2:O$9,1)),"")</f>
        <v>C</v>
      </c>
    </row>
    <row r="28" spans="2:8" ht="21" x14ac:dyDescent="0.35">
      <c r="B28" s="25" t="str">
        <f>IF(Invulling!$F$72&lt;&gt;"",Invulling!$F$72,IF(Invulling!$F$74&lt;&gt;"",Invulling!$F$74,""))</f>
        <v/>
      </c>
      <c r="C28" s="42" t="str">
        <f>IF(Invulling!$F$72&lt;&gt;"",Invulling!$G$72,IF(Invulling!$F$74&lt;&gt;"",Invulling!$G$74,""))</f>
        <v/>
      </c>
      <c r="D28" t="str">
        <f>IF(Invulling!$F$72&lt;&gt;"","resteert:",IF(Invulling!$F$74&lt;&gt;"","resteert:",""))</f>
        <v/>
      </c>
      <c r="E28" s="30" t="str">
        <f>IF(Invulling!$F$72&lt;&gt;"",Invulling!$H$72,IF(Invulling!$F$74&lt;&gt;"",Invulling!$H$74,""))</f>
        <v/>
      </c>
      <c r="F28" s="25" t="str">
        <f>IF(B28&lt;&gt;"","max beloning","")</f>
        <v/>
      </c>
      <c r="G28" s="43" t="str">
        <f>IF(B28&lt;&gt;"",INDEX('BSD tabellen'!R$2:R$9,MATCH(E28,'BSD tabellen'!O$2:O$9,1)),"")</f>
        <v/>
      </c>
      <c r="H28" s="44" t="str">
        <f>IF(B28&lt;&gt;"",INDEX('BSD tabellen'!S$2:S$9,MATCH(E28,'BSD tabellen'!O$2:O$9,1)),"")</f>
        <v/>
      </c>
    </row>
    <row r="29" spans="2:8" ht="21" x14ac:dyDescent="0.35">
      <c r="B29" s="25" t="str">
        <f>IF(Invulling!$F$75&lt;&gt;"",Invulling!$F$75,"")</f>
        <v/>
      </c>
      <c r="C29" s="42" t="str">
        <f>IF(Invulling!$F$75&lt;&gt;"",Invulling!$G$75,"")</f>
        <v/>
      </c>
      <c r="D29" t="str">
        <f>IF(Invulling!$F$75&lt;&gt;"","resteert:","")</f>
        <v/>
      </c>
      <c r="E29" s="30" t="str">
        <f>IF(Invulling!$F$75&lt;&gt;"",Invulling!$H$75,"")</f>
        <v/>
      </c>
      <c r="F29" s="25" t="str">
        <f>IF(B29&lt;&gt;"","max beloning","")</f>
        <v/>
      </c>
      <c r="G29" s="43" t="str">
        <f>IF(B29&lt;&gt;"",INDEX('BSD tabellen'!R$2:R$9,MATCH(E29,'BSD tabellen'!O$2:O$9,1)),"")</f>
        <v/>
      </c>
      <c r="H29" s="44" t="str">
        <f>IF(B29&lt;&gt;"",INDEX('BSD tabellen'!S$2:S$9,MATCH(E29,'BSD tabellen'!O$2:O$9,1)),"")</f>
        <v/>
      </c>
    </row>
    <row r="31" spans="2:8" ht="45" customHeight="1" x14ac:dyDescent="0.2">
      <c r="B31" s="52" t="s">
        <v>86</v>
      </c>
      <c r="C31" s="53" t="s">
        <v>85</v>
      </c>
      <c r="D31" s="53" t="s">
        <v>87</v>
      </c>
      <c r="E31" s="53" t="s">
        <v>81</v>
      </c>
      <c r="F31" s="53" t="s">
        <v>82</v>
      </c>
      <c r="G31" s="47" t="s">
        <v>83</v>
      </c>
    </row>
    <row r="32" spans="2:8" ht="18.75" x14ac:dyDescent="0.3">
      <c r="B32" s="48" t="str">
        <f>IF(Directie_Model=1,"Directeur",IF(AND(Directie_Model&gt;=2,Directie_Model&lt;=6),"Dir.Lid 1",""))</f>
        <v>Directeur</v>
      </c>
      <c r="C32" s="49" t="str">
        <f>IF(OR(Directie_Model&lt;1,Directie_Model&gt;6),"",IF(SUM(Jaarinkomen_1)=0,"",SUM(Jaarinkomen_1)))</f>
        <v/>
      </c>
      <c r="D32" s="48" t="str">
        <f>IF(OR(Directie_Model&lt;1,Directie_Model&gt;6),"",IF(SUM(Bijtellingen_1)=0,"",SUM(Bijtellingen_1)))</f>
        <v/>
      </c>
      <c r="E32" s="48" t="str">
        <f>IF(OR(Directie_Model&lt;1,Directie_Model&gt;6),"",IF(SUM(Invulling!B90)=0,"",SUM(Invulling!B90)))</f>
        <v/>
      </c>
      <c r="F32" s="48" t="str">
        <f>IF(OR(Directie_Model&lt;1,Directie_Model&gt;6),"",IF(SUM(Invulling!B93)=0,"",SUM(Invulling!B93)))</f>
        <v/>
      </c>
      <c r="G32" s="43" t="str">
        <f>IF(OR(Directie_Model&lt;1,Directie_Model&gt;6),"",IF(SUM(Invulling!B95)=0,"",SUM(Invulling!B95)))</f>
        <v/>
      </c>
      <c r="H32" t="s">
        <v>88</v>
      </c>
    </row>
    <row r="33" spans="2:8" x14ac:dyDescent="0.2">
      <c r="C33" t="str">
        <f>IF(SUM(C32)=0,"",IF(C32&gt;G27,"└ Dit is meer dan het schaalmaximum van het Beloningsmodel.')",""))</f>
        <v/>
      </c>
    </row>
    <row r="34" spans="2:8" x14ac:dyDescent="0.2">
      <c r="G34" s="25" t="str">
        <f>IF(SUM(G32)&gt;'BSD tabellen'!$R$10,"Dit is meer dan het absolute maximum van het Beloningsmodel.')","")</f>
        <v/>
      </c>
      <c r="H34" t="s">
        <v>88</v>
      </c>
    </row>
    <row r="35" spans="2:8" ht="18.75" x14ac:dyDescent="0.3">
      <c r="B35" s="48" t="str">
        <f>IF(Invulling!$C$69&gt;1,"Dir.Lid 2","")</f>
        <v/>
      </c>
      <c r="C35" s="49" t="str">
        <f>IF(Invulling!$C$69&lt;2,"",IF(SUM(Invulling!C85)=0,"",SUM(Invulling!C85)))</f>
        <v/>
      </c>
      <c r="D35" s="48" t="str">
        <f>IF(Invulling!$C$69&lt;2,"",IF(SUM(Invulling!C87)=0,"",SUM(Invulling!C87)))</f>
        <v/>
      </c>
      <c r="E35" s="48" t="str">
        <f>IF(Invulling!$C$69&lt;2,"",IF(SUM(Invulling!C90)=0,"",SUM(Invulling!C90)))</f>
        <v/>
      </c>
      <c r="F35" s="48" t="str">
        <f>IF(Invulling!$C$69&lt;2,"",IF(SUM(Invulling!C93)=0,"",SUM(Invulling!C93)))</f>
        <v/>
      </c>
      <c r="G35" s="43" t="str">
        <f>IF(Invulling!$C$69&lt;2,"",IF(SUM(Invulling!C95)=0,"",SUM(Invulling!C95)))</f>
        <v/>
      </c>
      <c r="H35" t="s">
        <v>88</v>
      </c>
    </row>
    <row r="36" spans="2:8" x14ac:dyDescent="0.2">
      <c r="C36" t="str">
        <f>IF(SUM(C35)=0,"",IF(C35&gt;G28,"└ Dit is meer dan het schaalmaximum van het Beloningsmodel.')",""))</f>
        <v/>
      </c>
    </row>
    <row r="37" spans="2:8" x14ac:dyDescent="0.2">
      <c r="G37" s="25" t="str">
        <f>IF(SUM(G35)&gt;'BSD tabellen'!$R$10,"Dit is meer dan het absolute maximum van het Beloningsmodel.')","")</f>
        <v/>
      </c>
      <c r="H37" t="s">
        <v>88</v>
      </c>
    </row>
    <row r="38" spans="2:8" ht="18.75" x14ac:dyDescent="0.3">
      <c r="B38" s="48" t="str">
        <f>IF(Invulling!$C$69&gt;3,"Dir.Lid 3","")</f>
        <v/>
      </c>
      <c r="C38" s="49" t="str">
        <f>IF(Invulling!$C$69&lt;4,"",IF(SUM(Invulling!D85)=0,"",SUM(Invulling!D85)))</f>
        <v/>
      </c>
      <c r="D38" s="48" t="str">
        <f>IF(Invulling!$C$69&lt;4,"",IF(SUM(Invulling!D87)=0,"",SUM(Invulling!D87)))</f>
        <v/>
      </c>
      <c r="E38" s="48" t="str">
        <f>IF(Invulling!$C$69&lt;4,"",IF(SUM(Invulling!D90)=0,"",SUM(Invulling!D90)))</f>
        <v/>
      </c>
      <c r="F38" s="48" t="str">
        <f>IF(Invulling!$C$69&lt;4,"",IF(SUM(Invulling!D93)=0,"",SUM(Invulling!D93)))</f>
        <v/>
      </c>
      <c r="G38" s="43" t="str">
        <f>IF(Invulling!$C$69&lt;4,"",IF(SUM(Invulling!D95)=0,"",SUM(Invulling!D95)))</f>
        <v/>
      </c>
      <c r="H38" t="s">
        <v>88</v>
      </c>
    </row>
    <row r="39" spans="2:8" x14ac:dyDescent="0.2">
      <c r="C39" t="str">
        <f>IF(SUM(C38)=0,"",IF(C38&gt;G29,"└ Dit is meer dan het schaalmaximum van het Beloningsmodel.')",""))</f>
        <v/>
      </c>
    </row>
    <row r="40" spans="2:8" x14ac:dyDescent="0.2">
      <c r="G40" s="25" t="str">
        <f>IF(SUM(G38)&gt;'BSD tabellen'!$R$10,"Dit is meer dan het absolute maximum van het Beloningsmodel.')","")</f>
        <v/>
      </c>
      <c r="H40" t="s">
        <v>88</v>
      </c>
    </row>
    <row r="41" spans="2:8" x14ac:dyDescent="0.2">
      <c r="B41" t="str">
        <f>IF(OR(C33&lt;&gt;"",G34&lt;&gt;"",C36&lt;&gt;"",G37&lt;&gt;"",C39&lt;&gt;"",G40&lt;&gt;""),"') "&amp;'BSD tabellen'!P17,"")</f>
        <v/>
      </c>
    </row>
    <row r="42" spans="2:8" x14ac:dyDescent="0.2">
      <c r="B42" s="105" t="str">
        <f>IF(G32="","","Zijn alle bedragen omgerekend naar voltijdsbeloning?")</f>
        <v/>
      </c>
      <c r="C42" s="105"/>
      <c r="D42" s="105"/>
      <c r="E42" s="105"/>
      <c r="F42" s="105"/>
      <c r="G42" s="105"/>
    </row>
  </sheetData>
  <sheetProtection password="E28B" sheet="1" objects="1" scenarios="1"/>
  <mergeCells count="19">
    <mergeCell ref="B42:G42"/>
    <mergeCell ref="E22:H22"/>
    <mergeCell ref="B26:F26"/>
    <mergeCell ref="E15:H15"/>
    <mergeCell ref="E17:H17"/>
    <mergeCell ref="E18:H18"/>
    <mergeCell ref="E19:H19"/>
    <mergeCell ref="E20:H20"/>
    <mergeCell ref="E16:H16"/>
    <mergeCell ref="B12:H12"/>
    <mergeCell ref="B6:H6"/>
    <mergeCell ref="B7:H7"/>
    <mergeCell ref="B8:H8"/>
    <mergeCell ref="B1:H1"/>
    <mergeCell ref="B2:H2"/>
    <mergeCell ref="B5:H5"/>
    <mergeCell ref="B10:H10"/>
    <mergeCell ref="B11:H11"/>
    <mergeCell ref="A3:H3"/>
  </mergeCells>
  <conditionalFormatting sqref="B12:H12">
    <cfRule type="cellIs" dxfId="25" priority="33" operator="notEqual">
      <formula>""</formula>
    </cfRule>
  </conditionalFormatting>
  <conditionalFormatting sqref="B11:H11">
    <cfRule type="cellIs" dxfId="24" priority="32" operator="notEqual">
      <formula>""</formula>
    </cfRule>
  </conditionalFormatting>
  <conditionalFormatting sqref="B6:H6">
    <cfRule type="cellIs" dxfId="23" priority="31" operator="notEqual">
      <formula>""</formula>
    </cfRule>
  </conditionalFormatting>
  <conditionalFormatting sqref="E28:E29">
    <cfRule type="expression" dxfId="22" priority="71">
      <formula>$B28&lt;&gt;""</formula>
    </cfRule>
  </conditionalFormatting>
  <conditionalFormatting sqref="E27">
    <cfRule type="expression" dxfId="21" priority="28">
      <formula>$B27&lt;&gt;""</formula>
    </cfRule>
  </conditionalFormatting>
  <conditionalFormatting sqref="C35">
    <cfRule type="expression" dxfId="20" priority="26">
      <formula>$C36&lt;&gt;""</formula>
    </cfRule>
  </conditionalFormatting>
  <conditionalFormatting sqref="C32">
    <cfRule type="expression" dxfId="19" priority="25">
      <formula>$C33&lt;&gt;""</formula>
    </cfRule>
  </conditionalFormatting>
  <conditionalFormatting sqref="C38">
    <cfRule type="expression" dxfId="18" priority="24">
      <formula>$C39&lt;&gt;""</formula>
    </cfRule>
  </conditionalFormatting>
  <conditionalFormatting sqref="H32">
    <cfRule type="expression" dxfId="17" priority="23">
      <formula>$G34=""</formula>
    </cfRule>
  </conditionalFormatting>
  <conditionalFormatting sqref="G32">
    <cfRule type="expression" dxfId="16" priority="19">
      <formula>$G34&lt;&gt;""</formula>
    </cfRule>
  </conditionalFormatting>
  <conditionalFormatting sqref="G35">
    <cfRule type="expression" dxfId="15" priority="18">
      <formula>$G37&lt;&gt;""</formula>
    </cfRule>
  </conditionalFormatting>
  <conditionalFormatting sqref="G38">
    <cfRule type="expression" dxfId="14" priority="17">
      <formula>$G40&lt;&gt;""</formula>
    </cfRule>
  </conditionalFormatting>
  <conditionalFormatting sqref="H35">
    <cfRule type="expression" dxfId="13" priority="13">
      <formula>$G37=""</formula>
    </cfRule>
  </conditionalFormatting>
  <conditionalFormatting sqref="H34">
    <cfRule type="expression" dxfId="12" priority="14">
      <formula>$G34=""</formula>
    </cfRule>
  </conditionalFormatting>
  <conditionalFormatting sqref="H37">
    <cfRule type="expression" dxfId="11" priority="12">
      <formula>$G37=""</formula>
    </cfRule>
  </conditionalFormatting>
  <conditionalFormatting sqref="H38">
    <cfRule type="expression" dxfId="10" priority="11">
      <formula>$G40=""</formula>
    </cfRule>
  </conditionalFormatting>
  <conditionalFormatting sqref="H40">
    <cfRule type="expression" dxfId="9" priority="10">
      <formula>$G40=""</formula>
    </cfRule>
  </conditionalFormatting>
  <conditionalFormatting sqref="B8:H8">
    <cfRule type="cellIs" dxfId="8" priority="9" operator="notEqual">
      <formula>""</formula>
    </cfRule>
  </conditionalFormatting>
  <conditionalFormatting sqref="E15:H15">
    <cfRule type="expression" dxfId="7" priority="8">
      <formula>Omvang_Fin_BSD=""</formula>
    </cfRule>
  </conditionalFormatting>
  <conditionalFormatting sqref="E17:H17">
    <cfRule type="expression" dxfId="6" priority="7">
      <formula>Omvang_FTE_BSD=""</formula>
    </cfRule>
  </conditionalFormatting>
  <conditionalFormatting sqref="E18:H18">
    <cfRule type="expression" dxfId="5" priority="6">
      <formula>Complexiteit_BSD=""</formula>
    </cfRule>
  </conditionalFormatting>
  <conditionalFormatting sqref="E19:H19">
    <cfRule type="expression" dxfId="4" priority="5">
      <formula>Context_Aansturing_BSD=""</formula>
    </cfRule>
  </conditionalFormatting>
  <conditionalFormatting sqref="E20:H20">
    <cfRule type="expression" dxfId="3" priority="4">
      <formula>Context_Rol_BSD=""</formula>
    </cfRule>
  </conditionalFormatting>
  <conditionalFormatting sqref="E22:H22">
    <cfRule type="cellIs" dxfId="2" priority="3" operator="notEqual">
      <formula>""</formula>
    </cfRule>
  </conditionalFormatting>
  <conditionalFormatting sqref="G26:H26">
    <cfRule type="expression" dxfId="1" priority="2">
      <formula>OR(Directie_Model&lt;1,Directie_Model&gt;6)</formula>
    </cfRule>
  </conditionalFormatting>
  <conditionalFormatting sqref="E16:H16">
    <cfRule type="expression" dxfId="0" priority="1">
      <formula>Omvang_FTE_BSD=""</formula>
    </cfRule>
  </conditionalFormatting>
  <pageMargins left="0.51181102362204722" right="0.51181102362204722" top="0.15748031496062992" bottom="0.6692913385826772" header="0" footer="0.31496062992125984"/>
  <pageSetup paperSize="9" orientation="portrait" r:id="rId1"/>
  <headerFooter>
    <oddFooter>&amp;C&amp;"Calibri,Vet"&amp;11© Centraal Bureau Fondsenwerving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E20"/>
  <sheetViews>
    <sheetView workbookViewId="0">
      <selection activeCell="O3" sqref="O3"/>
    </sheetView>
  </sheetViews>
  <sheetFormatPr defaultRowHeight="12.75" x14ac:dyDescent="0.2"/>
  <cols>
    <col min="1" max="1" width="9.140625" style="10"/>
    <col min="2" max="2" width="14.85546875" style="10" bestFit="1" customWidth="1"/>
    <col min="3" max="5" width="9.140625" style="10"/>
    <col min="6" max="6" width="16.5703125" style="10" customWidth="1"/>
    <col min="7" max="9" width="9.140625" style="10"/>
    <col min="10" max="10" width="12.140625" style="10" bestFit="1" customWidth="1"/>
    <col min="11" max="14" width="9.140625" style="10"/>
    <col min="15" max="15" width="12.5703125" style="10" bestFit="1" customWidth="1"/>
    <col min="16" max="16" width="13.28515625" style="10" bestFit="1" customWidth="1"/>
    <col min="17" max="17" width="13.28515625" style="10" customWidth="1"/>
    <col min="18" max="18" width="12.85546875" style="10" bestFit="1" customWidth="1"/>
    <col min="19" max="19" width="11.85546875" style="10" bestFit="1" customWidth="1"/>
    <col min="20" max="22" width="9.140625" style="10"/>
    <col min="23" max="23" width="9.140625" style="23"/>
    <col min="24" max="16384" width="9.140625" style="10"/>
  </cols>
  <sheetData>
    <row r="1" spans="1:31" x14ac:dyDescent="0.2">
      <c r="A1" s="8" t="s">
        <v>10</v>
      </c>
      <c r="B1" s="9" t="s">
        <v>11</v>
      </c>
      <c r="C1" s="108" t="s">
        <v>12</v>
      </c>
      <c r="D1" s="108"/>
      <c r="E1" s="108"/>
      <c r="F1" s="66"/>
      <c r="G1" s="108" t="s">
        <v>99</v>
      </c>
      <c r="H1" s="108"/>
      <c r="I1" s="108"/>
      <c r="J1" s="9" t="s">
        <v>13</v>
      </c>
      <c r="K1" s="108" t="s">
        <v>14</v>
      </c>
      <c r="L1" s="108"/>
      <c r="M1" s="108"/>
      <c r="O1" s="8" t="s">
        <v>15</v>
      </c>
      <c r="P1" s="8" t="s">
        <v>16</v>
      </c>
      <c r="Q1" s="11" t="s">
        <v>17</v>
      </c>
      <c r="R1" s="8" t="s">
        <v>18</v>
      </c>
      <c r="S1" s="8" t="s">
        <v>19</v>
      </c>
      <c r="U1" s="12" t="s">
        <v>20</v>
      </c>
      <c r="V1" s="12"/>
      <c r="W1" s="13"/>
      <c r="X1" s="14" t="s">
        <v>21</v>
      </c>
      <c r="Y1" s="14" t="s">
        <v>22</v>
      </c>
      <c r="Z1" s="14" t="s">
        <v>23</v>
      </c>
      <c r="AB1" s="14" t="s">
        <v>24</v>
      </c>
      <c r="AC1" s="14" t="s">
        <v>25</v>
      </c>
      <c r="AD1" s="14" t="s">
        <v>26</v>
      </c>
      <c r="AE1" s="14" t="s">
        <v>27</v>
      </c>
    </row>
    <row r="2" spans="1:31" x14ac:dyDescent="0.2">
      <c r="A2" s="8"/>
      <c r="B2" s="15" t="s">
        <v>28</v>
      </c>
      <c r="C2" s="16" t="s">
        <v>29</v>
      </c>
      <c r="D2" s="16" t="s">
        <v>30</v>
      </c>
      <c r="E2" s="16" t="s">
        <v>31</v>
      </c>
      <c r="F2" s="15" t="s">
        <v>28</v>
      </c>
      <c r="G2" s="16" t="s">
        <v>29</v>
      </c>
      <c r="H2" s="16" t="s">
        <v>30</v>
      </c>
      <c r="I2" s="16" t="s">
        <v>31</v>
      </c>
      <c r="J2" s="15" t="s">
        <v>32</v>
      </c>
      <c r="K2" s="16" t="s">
        <v>29</v>
      </c>
      <c r="L2" s="16" t="s">
        <v>30</v>
      </c>
      <c r="M2" s="16" t="s">
        <v>31</v>
      </c>
      <c r="O2" s="17">
        <v>0</v>
      </c>
      <c r="P2" s="10">
        <v>280</v>
      </c>
      <c r="Q2" s="18">
        <v>0</v>
      </c>
      <c r="R2" s="19">
        <v>77478</v>
      </c>
      <c r="S2" s="17" t="s">
        <v>33</v>
      </c>
      <c r="U2" s="12"/>
      <c r="V2" s="12">
        <v>55</v>
      </c>
      <c r="W2" s="13"/>
      <c r="X2" s="14"/>
      <c r="Y2" s="14">
        <v>30</v>
      </c>
      <c r="Z2" s="14">
        <v>30</v>
      </c>
      <c r="AB2" s="8" t="s">
        <v>34</v>
      </c>
      <c r="AC2" s="20">
        <v>1</v>
      </c>
    </row>
    <row r="3" spans="1:31" x14ac:dyDescent="0.2">
      <c r="A3" s="8" t="s">
        <v>35</v>
      </c>
      <c r="B3" s="21">
        <v>500000</v>
      </c>
      <c r="C3" s="22">
        <v>55</v>
      </c>
      <c r="D3" s="22">
        <v>60</v>
      </c>
      <c r="E3" s="22">
        <v>70</v>
      </c>
      <c r="F3" s="21">
        <v>50000000</v>
      </c>
      <c r="G3" s="22">
        <v>5</v>
      </c>
      <c r="H3" s="22">
        <v>10</v>
      </c>
      <c r="I3" s="22">
        <v>15</v>
      </c>
      <c r="J3" s="10">
        <v>50</v>
      </c>
      <c r="K3" s="22">
        <v>30</v>
      </c>
      <c r="L3" s="22">
        <v>35</v>
      </c>
      <c r="M3" s="22">
        <v>40</v>
      </c>
      <c r="O3" s="17">
        <f>P2+1</f>
        <v>281</v>
      </c>
      <c r="P3" s="10">
        <v>310</v>
      </c>
      <c r="Q3" s="18">
        <f>R2</f>
        <v>77478</v>
      </c>
      <c r="R3" s="19">
        <v>87336</v>
      </c>
      <c r="S3" s="17" t="s">
        <v>36</v>
      </c>
      <c r="U3" s="12"/>
      <c r="V3" s="12">
        <v>70</v>
      </c>
      <c r="W3" s="13"/>
      <c r="X3" s="14"/>
      <c r="Y3" s="14">
        <v>40</v>
      </c>
      <c r="Z3" s="14">
        <v>40</v>
      </c>
      <c r="AB3" s="8" t="s">
        <v>37</v>
      </c>
      <c r="AC3" s="20">
        <v>0.87</v>
      </c>
      <c r="AD3" s="20">
        <v>0.87</v>
      </c>
    </row>
    <row r="4" spans="1:31" x14ac:dyDescent="0.2">
      <c r="A4" s="8" t="s">
        <v>38</v>
      </c>
      <c r="B4" s="21">
        <v>5000000</v>
      </c>
      <c r="C4" s="22">
        <v>80</v>
      </c>
      <c r="D4" s="22">
        <v>90</v>
      </c>
      <c r="E4" s="22">
        <v>100</v>
      </c>
      <c r="F4" s="21">
        <v>100000000</v>
      </c>
      <c r="G4" s="22">
        <v>15</v>
      </c>
      <c r="H4" s="22">
        <v>20</v>
      </c>
      <c r="I4" s="22">
        <v>25</v>
      </c>
      <c r="J4" s="10">
        <v>150</v>
      </c>
      <c r="K4" s="22">
        <v>45</v>
      </c>
      <c r="L4" s="22">
        <v>50</v>
      </c>
      <c r="M4" s="22">
        <v>55</v>
      </c>
      <c r="O4" s="17">
        <f t="shared" ref="O4:O9" si="0">P3+1</f>
        <v>311</v>
      </c>
      <c r="P4" s="10">
        <v>340</v>
      </c>
      <c r="Q4" s="18">
        <f t="shared" ref="Q4:Q10" si="1">R3</f>
        <v>87336</v>
      </c>
      <c r="R4" s="19">
        <v>97200</v>
      </c>
      <c r="S4" s="17" t="s">
        <v>39</v>
      </c>
      <c r="U4" s="12"/>
      <c r="V4" s="12">
        <v>90</v>
      </c>
      <c r="W4" s="13"/>
      <c r="X4" s="14"/>
      <c r="Y4" s="14">
        <v>50</v>
      </c>
      <c r="Z4" s="14">
        <v>50</v>
      </c>
      <c r="AB4" s="8" t="s">
        <v>40</v>
      </c>
      <c r="AC4" s="20">
        <v>0.87</v>
      </c>
      <c r="AD4" s="20">
        <v>0.8</v>
      </c>
    </row>
    <row r="5" spans="1:31" x14ac:dyDescent="0.2">
      <c r="A5" s="8" t="s">
        <v>41</v>
      </c>
      <c r="B5" s="21">
        <v>50000000</v>
      </c>
      <c r="C5" s="22">
        <v>110</v>
      </c>
      <c r="D5" s="22">
        <v>120</v>
      </c>
      <c r="E5" s="22">
        <v>135</v>
      </c>
      <c r="F5" s="21">
        <v>150000000</v>
      </c>
      <c r="G5" s="22">
        <v>25</v>
      </c>
      <c r="H5" s="22">
        <v>30</v>
      </c>
      <c r="I5" s="22">
        <v>35</v>
      </c>
      <c r="J5" s="10">
        <v>300</v>
      </c>
      <c r="K5" s="22">
        <v>60</v>
      </c>
      <c r="L5" s="22">
        <v>65</v>
      </c>
      <c r="M5" s="22">
        <v>75</v>
      </c>
      <c r="O5" s="17">
        <f t="shared" si="0"/>
        <v>341</v>
      </c>
      <c r="P5" s="10">
        <v>370</v>
      </c>
      <c r="Q5" s="18">
        <f t="shared" si="1"/>
        <v>97200</v>
      </c>
      <c r="R5" s="19">
        <v>109879</v>
      </c>
      <c r="S5" s="17" t="s">
        <v>42</v>
      </c>
      <c r="U5" s="12"/>
      <c r="V5" s="12">
        <v>115</v>
      </c>
      <c r="W5" s="13"/>
      <c r="X5" s="14"/>
      <c r="Y5" s="14">
        <v>65</v>
      </c>
      <c r="Z5" s="14">
        <v>65</v>
      </c>
      <c r="AB5" s="8" t="s">
        <v>43</v>
      </c>
      <c r="AC5" s="20">
        <v>0.8</v>
      </c>
      <c r="AD5" s="20">
        <v>0.8</v>
      </c>
      <c r="AE5" s="20">
        <v>0.8</v>
      </c>
    </row>
    <row r="6" spans="1:31" x14ac:dyDescent="0.2">
      <c r="A6" s="8" t="s">
        <v>44</v>
      </c>
      <c r="B6" s="21"/>
      <c r="C6" s="22">
        <v>150</v>
      </c>
      <c r="D6" s="22">
        <v>170</v>
      </c>
      <c r="E6" s="22">
        <v>190</v>
      </c>
      <c r="F6" s="21"/>
      <c r="G6" s="22">
        <v>35</v>
      </c>
      <c r="H6" s="22">
        <v>40</v>
      </c>
      <c r="I6" s="22">
        <v>45</v>
      </c>
      <c r="K6" s="22">
        <v>85</v>
      </c>
      <c r="L6" s="22">
        <v>95</v>
      </c>
      <c r="M6" s="22">
        <v>105</v>
      </c>
      <c r="O6" s="17">
        <f t="shared" si="0"/>
        <v>371</v>
      </c>
      <c r="P6" s="10">
        <v>410</v>
      </c>
      <c r="Q6" s="18">
        <f t="shared" si="1"/>
        <v>109879</v>
      </c>
      <c r="R6" s="19">
        <v>122552</v>
      </c>
      <c r="S6" s="17" t="s">
        <v>41</v>
      </c>
      <c r="U6" s="12"/>
      <c r="V6" s="12">
        <v>145</v>
      </c>
      <c r="W6" s="13"/>
      <c r="X6" s="14"/>
      <c r="Y6" s="14">
        <v>80</v>
      </c>
      <c r="Z6" s="14">
        <v>80</v>
      </c>
      <c r="AB6" s="8" t="s">
        <v>45</v>
      </c>
      <c r="AC6" s="20">
        <v>0.87</v>
      </c>
      <c r="AD6" s="20">
        <v>0.8</v>
      </c>
      <c r="AE6" s="20">
        <v>0.8</v>
      </c>
    </row>
    <row r="7" spans="1:31" x14ac:dyDescent="0.2">
      <c r="O7" s="17">
        <f t="shared" si="0"/>
        <v>411</v>
      </c>
      <c r="P7" s="10">
        <v>450</v>
      </c>
      <c r="Q7" s="18">
        <f t="shared" si="1"/>
        <v>122552</v>
      </c>
      <c r="R7" s="19">
        <v>136639</v>
      </c>
      <c r="S7" s="17" t="s">
        <v>46</v>
      </c>
      <c r="AB7" s="8" t="s">
        <v>47</v>
      </c>
      <c r="AC7" s="20">
        <v>0.92</v>
      </c>
      <c r="AD7" s="20">
        <v>0.8</v>
      </c>
      <c r="AE7" s="20">
        <v>0.8</v>
      </c>
    </row>
    <row r="8" spans="1:31" x14ac:dyDescent="0.2">
      <c r="O8" s="17">
        <f t="shared" si="0"/>
        <v>451</v>
      </c>
      <c r="P8" s="10">
        <v>490</v>
      </c>
      <c r="Q8" s="18">
        <f t="shared" si="1"/>
        <v>136639</v>
      </c>
      <c r="R8" s="19">
        <v>154951</v>
      </c>
      <c r="S8" s="17" t="s">
        <v>48</v>
      </c>
    </row>
    <row r="9" spans="1:31" x14ac:dyDescent="0.2">
      <c r="O9" s="17">
        <f t="shared" si="0"/>
        <v>491</v>
      </c>
      <c r="P9" s="24">
        <v>10000000000</v>
      </c>
      <c r="Q9" s="18">
        <f t="shared" si="1"/>
        <v>154951</v>
      </c>
      <c r="R9" s="19">
        <v>180984</v>
      </c>
      <c r="S9" s="17" t="s">
        <v>49</v>
      </c>
    </row>
    <row r="10" spans="1:31" x14ac:dyDescent="0.2">
      <c r="Q10" s="18">
        <f t="shared" si="1"/>
        <v>180984</v>
      </c>
      <c r="R10" s="19">
        <v>231463</v>
      </c>
      <c r="S10" s="74" t="s">
        <v>31</v>
      </c>
    </row>
    <row r="12" spans="1:31" x14ac:dyDescent="0.2">
      <c r="P12" s="54" t="s">
        <v>103</v>
      </c>
      <c r="Q12" s="54"/>
    </row>
    <row r="13" spans="1:31" x14ac:dyDescent="0.2">
      <c r="B13" s="21"/>
      <c r="O13" s="23"/>
      <c r="P13" s="23"/>
      <c r="Q13" s="23"/>
    </row>
    <row r="14" spans="1:31" x14ac:dyDescent="0.2">
      <c r="A14" s="8" t="s">
        <v>35</v>
      </c>
      <c r="B14" s="21"/>
      <c r="P14" s="10" t="s">
        <v>107</v>
      </c>
      <c r="R14" s="10" t="s">
        <v>109</v>
      </c>
    </row>
    <row r="15" spans="1:31" x14ac:dyDescent="0.2">
      <c r="A15" s="8" t="s">
        <v>38</v>
      </c>
      <c r="B15" s="21"/>
      <c r="O15" s="10" t="s">
        <v>111</v>
      </c>
      <c r="P15" s="70">
        <v>44013</v>
      </c>
      <c r="R15" s="67" t="s">
        <v>108</v>
      </c>
    </row>
    <row r="16" spans="1:31" x14ac:dyDescent="0.2">
      <c r="A16" s="8" t="s">
        <v>41</v>
      </c>
      <c r="B16" s="21"/>
    </row>
    <row r="17" spans="1:19" x14ac:dyDescent="0.2">
      <c r="A17" s="8" t="s">
        <v>44</v>
      </c>
      <c r="B17" s="21"/>
      <c r="O17" s="71" t="s">
        <v>110</v>
      </c>
      <c r="P17" s="10" t="str">
        <f>"Dit betreft de normering d.d. "&amp;TEXT(P15,"d mmmm jjjj")&amp;", op grond van de "&amp;R15&amp;"."</f>
        <v>Dit betreft de normering d.d. 1 juli 2020, op grond van de cao Rijk 2018-2020.</v>
      </c>
      <c r="S17" s="8"/>
    </row>
    <row r="19" spans="1:19" x14ac:dyDescent="0.2">
      <c r="O19" s="10" t="s">
        <v>121</v>
      </c>
      <c r="P19" s="10" t="s">
        <v>120</v>
      </c>
    </row>
    <row r="20" spans="1:19" x14ac:dyDescent="0.2">
      <c r="O20" s="10" t="s">
        <v>122</v>
      </c>
      <c r="P20" s="10" t="s">
        <v>123</v>
      </c>
    </row>
  </sheetData>
  <mergeCells count="3">
    <mergeCell ref="C1:E1"/>
    <mergeCell ref="K1:M1"/>
    <mergeCell ref="G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68</vt:i4>
      </vt:variant>
    </vt:vector>
  </HeadingPairs>
  <TitlesOfParts>
    <vt:vector size="71" baseType="lpstr">
      <vt:lpstr>Invulling</vt:lpstr>
      <vt:lpstr>Zelfbeeld</vt:lpstr>
      <vt:lpstr>BSD tabellen</vt:lpstr>
      <vt:lpstr>Invulling!Afdrukbereik</vt:lpstr>
      <vt:lpstr>Zelfbeeld!Afdrukbereik</vt:lpstr>
      <vt:lpstr>Bijtellingen_1</vt:lpstr>
      <vt:lpstr>Bijtellingen_2</vt:lpstr>
      <vt:lpstr>Bijtellingen_3</vt:lpstr>
      <vt:lpstr>Boekjaar_aanvang</vt:lpstr>
      <vt:lpstr>Boekjaar_einde</vt:lpstr>
      <vt:lpstr>Bruto_BSD</vt:lpstr>
      <vt:lpstr>Bruto_jaarloon_1</vt:lpstr>
      <vt:lpstr>Bruto_jaarloon_2</vt:lpstr>
      <vt:lpstr>Bruto_jaarloon_3</vt:lpstr>
      <vt:lpstr>Complexiteit</vt:lpstr>
      <vt:lpstr>Complexiteit_BSD</vt:lpstr>
      <vt:lpstr>Context_Aansturing</vt:lpstr>
      <vt:lpstr>Context_Aansturing_BSD</vt:lpstr>
      <vt:lpstr>Context_Rol</vt:lpstr>
      <vt:lpstr>Context_Rol_BSD</vt:lpstr>
      <vt:lpstr>Datum_akkoord</vt:lpstr>
      <vt:lpstr>Directie_Model</vt:lpstr>
      <vt:lpstr>EJK_1</vt:lpstr>
      <vt:lpstr>EJK_2</vt:lpstr>
      <vt:lpstr>EJK_3</vt:lpstr>
      <vt:lpstr>Geaccordeerd_door</vt:lpstr>
      <vt:lpstr>Ingevuld_door</vt:lpstr>
      <vt:lpstr>Jaarinkomen_1</vt:lpstr>
      <vt:lpstr>Jaarinkomen_2</vt:lpstr>
      <vt:lpstr>Jaarinkomen_3</vt:lpstr>
      <vt:lpstr>Jaarinkomen_Max_1</vt:lpstr>
      <vt:lpstr>Jaarinkomen_Max_2</vt:lpstr>
      <vt:lpstr>Jaarinkomen_Max_3</vt:lpstr>
      <vt:lpstr>Jaarinkomen_Schaal_1</vt:lpstr>
      <vt:lpstr>Jaarinkomen_Schaal_2</vt:lpstr>
      <vt:lpstr>Jaarinkomen_Schaal_3</vt:lpstr>
      <vt:lpstr>Omvang_Fin</vt:lpstr>
      <vt:lpstr>Omvang_Fin_BSD</vt:lpstr>
      <vt:lpstr>Omvang_Fin_Fds</vt:lpstr>
      <vt:lpstr>Omvang_Fin_Fds_BSD</vt:lpstr>
      <vt:lpstr>Omvang_Fin_Fds_sub</vt:lpstr>
      <vt:lpstr>Omvang_Fin_sub</vt:lpstr>
      <vt:lpstr>Omvang_FTE</vt:lpstr>
      <vt:lpstr>Omvang_FTE_BSD</vt:lpstr>
      <vt:lpstr>Omvang_FTE_sub</vt:lpstr>
      <vt:lpstr>Organisatie</vt:lpstr>
      <vt:lpstr>Ov_Beloningen_1</vt:lpstr>
      <vt:lpstr>Ov_Beloningen_2</vt:lpstr>
      <vt:lpstr>Ov_Beloningen_3</vt:lpstr>
      <vt:lpstr>Overige_uitbet_1</vt:lpstr>
      <vt:lpstr>Overige_uitbet_2</vt:lpstr>
      <vt:lpstr>Overige_uitbet_3</vt:lpstr>
      <vt:lpstr>Richtlijn</vt:lpstr>
      <vt:lpstr>RichtlijnSub</vt:lpstr>
      <vt:lpstr>Toel_Bijz_Beloning</vt:lpstr>
      <vt:lpstr>Toel_Omvang_FTE</vt:lpstr>
      <vt:lpstr>Totale_Beloning_1</vt:lpstr>
      <vt:lpstr>Totale_Beloning_2</vt:lpstr>
      <vt:lpstr>Totale_Beloning_3</vt:lpstr>
      <vt:lpstr>Vakantiegeld_1</vt:lpstr>
      <vt:lpstr>Vakantiegeld_2</vt:lpstr>
      <vt:lpstr>Vakantiegeld_3</vt:lpstr>
      <vt:lpstr>Vertrek_janee_1</vt:lpstr>
      <vt:lpstr>Vertrek_janee_2</vt:lpstr>
      <vt:lpstr>Vertrek_janee_3</vt:lpstr>
      <vt:lpstr>Vertrek_Regeling_1</vt:lpstr>
      <vt:lpstr>Vertrek_Regeling_2</vt:lpstr>
      <vt:lpstr>Vertrek_Regeling_3</vt:lpstr>
      <vt:lpstr>WGD_Pensioen_1</vt:lpstr>
      <vt:lpstr>WGD_Pensioen_2</vt:lpstr>
      <vt:lpstr>WGD_Pensioen_3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Uiterdijk</dc:creator>
  <cp:lastModifiedBy>Boris Uiterdijk</cp:lastModifiedBy>
  <cp:lastPrinted>2019-06-06T16:01:34Z</cp:lastPrinted>
  <dcterms:created xsi:type="dcterms:W3CDTF">2019-05-09T10:10:59Z</dcterms:created>
  <dcterms:modified xsi:type="dcterms:W3CDTF">2024-03-13T12:23:00Z</dcterms:modified>
</cp:coreProperties>
</file>